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600" yWindow="156" windowWidth="14040" windowHeight="11280" activeTab="6"/>
  </bookViews>
  <sheets>
    <sheet name="Lamb" sheetId="3" r:id="rId1"/>
    <sheet name="Lamb Data" sheetId="2" state="hidden" r:id="rId2"/>
    <sheet name="Lamb export" sheetId="9" r:id="rId3"/>
    <sheet name="Cattle" sheetId="6" r:id="rId4"/>
    <sheet name="Cattle data" sheetId="7" state="hidden" r:id="rId5"/>
    <sheet name="Sheet3" sheetId="5" state="hidden" r:id="rId6"/>
    <sheet name="Cattle export" sheetId="8" r:id="rId7"/>
  </sheets>
  <definedNames>
    <definedName name="_xlnm.Print_Area" localSheetId="3">Cattle!$B$1:$F$53</definedName>
    <definedName name="_xlnm.Print_Area" localSheetId="0">Lamb!$A$1:$G$54</definedName>
  </definedNames>
  <calcPr calcId="145621"/>
</workbook>
</file>

<file path=xl/calcChain.xml><?xml version="1.0" encoding="utf-8"?>
<calcChain xmlns="http://schemas.openxmlformats.org/spreadsheetml/2006/main">
  <c r="J39" i="2" l="1"/>
  <c r="K39" i="2"/>
  <c r="L39" i="2"/>
  <c r="M39" i="2"/>
  <c r="N39" i="2"/>
  <c r="O39" i="2"/>
  <c r="J40" i="2"/>
  <c r="K40" i="2"/>
  <c r="L40" i="2"/>
  <c r="M40" i="2"/>
  <c r="N40" i="2"/>
  <c r="O40" i="2"/>
  <c r="J41" i="2"/>
  <c r="K41" i="2"/>
  <c r="L41" i="2"/>
  <c r="M41" i="2"/>
  <c r="N41" i="2"/>
  <c r="O41" i="2"/>
  <c r="J42" i="2"/>
  <c r="K42" i="2"/>
  <c r="L42" i="2"/>
  <c r="M42" i="2"/>
  <c r="N42" i="2"/>
  <c r="O42" i="2"/>
  <c r="I40" i="2"/>
  <c r="I41" i="2"/>
  <c r="I42" i="2"/>
  <c r="I39" i="2"/>
  <c r="J32" i="2"/>
  <c r="K32" i="2"/>
  <c r="L32" i="2"/>
  <c r="M32" i="2"/>
  <c r="N32" i="2"/>
  <c r="O32" i="2"/>
  <c r="J33" i="2"/>
  <c r="K33" i="2"/>
  <c r="L33" i="2"/>
  <c r="M33" i="2"/>
  <c r="N33" i="2"/>
  <c r="O33" i="2"/>
  <c r="J34" i="2"/>
  <c r="K34" i="2"/>
  <c r="L34" i="2"/>
  <c r="M34" i="2"/>
  <c r="N34" i="2"/>
  <c r="O34" i="2"/>
  <c r="J35" i="2"/>
  <c r="K35" i="2"/>
  <c r="L35" i="2"/>
  <c r="M35" i="2"/>
  <c r="N35" i="2"/>
  <c r="O35" i="2"/>
  <c r="I33" i="2"/>
  <c r="I34" i="2"/>
  <c r="I35" i="2"/>
  <c r="I32" i="2"/>
  <c r="O26" i="2"/>
  <c r="O27" i="2"/>
  <c r="O28" i="2"/>
  <c r="O25" i="2"/>
  <c r="P17" i="7" l="1"/>
  <c r="P18" i="7"/>
  <c r="P19" i="7"/>
  <c r="P16" i="7"/>
  <c r="M19" i="7"/>
  <c r="M18" i="7"/>
  <c r="M17" i="7"/>
  <c r="M16" i="7"/>
  <c r="R12" i="2" l="1"/>
  <c r="Q12" i="2"/>
  <c r="S11" i="2"/>
  <c r="S10" i="2"/>
  <c r="B2" i="7" l="1"/>
  <c r="L25" i="7"/>
  <c r="I23" i="2"/>
  <c r="N26" i="2" l="1"/>
  <c r="N28" i="2"/>
  <c r="M28" i="2"/>
  <c r="M26" i="2"/>
  <c r="L28" i="2"/>
  <c r="J28" i="2"/>
  <c r="J26" i="2"/>
  <c r="I28" i="2"/>
  <c r="I27" i="2"/>
  <c r="N27" i="2"/>
  <c r="N25" i="2"/>
  <c r="M27" i="2"/>
  <c r="M25" i="2"/>
  <c r="K28" i="2"/>
  <c r="J27" i="2"/>
  <c r="J25" i="2"/>
  <c r="I26" i="2"/>
  <c r="I25" i="2"/>
  <c r="K46" i="2"/>
  <c r="I46" i="2" s="1"/>
  <c r="B5" i="2" l="1"/>
  <c r="P20" i="7" l="1"/>
  <c r="M20" i="7"/>
  <c r="L32" i="8" l="1"/>
  <c r="O20" i="7" l="1"/>
  <c r="N20" i="7"/>
  <c r="G7" i="9" l="1"/>
  <c r="E54" i="3"/>
  <c r="D54" i="3"/>
  <c r="J56" i="9"/>
  <c r="I56" i="9"/>
  <c r="H56" i="9"/>
  <c r="F37" i="9"/>
  <c r="F51" i="9" s="1"/>
  <c r="E56" i="9"/>
  <c r="B27" i="3" l="1"/>
  <c r="D4" i="6" l="1"/>
  <c r="D31" i="6"/>
  <c r="B31" i="6"/>
  <c r="E55" i="9" l="1"/>
  <c r="I55" i="9" l="1"/>
  <c r="H55" i="9"/>
  <c r="J55" i="9"/>
  <c r="L2" i="7"/>
  <c r="B39" i="3" l="1"/>
  <c r="C49" i="6"/>
  <c r="B30" i="7"/>
  <c r="D34" i="6"/>
  <c r="E34" i="6"/>
  <c r="C34" i="6"/>
  <c r="B19" i="2"/>
  <c r="B35" i="2"/>
  <c r="C46" i="3"/>
  <c r="D31" i="3"/>
  <c r="E31" i="3"/>
  <c r="C31" i="3"/>
  <c r="D4" i="3" l="1"/>
  <c r="J24" i="9" l="1"/>
  <c r="L14" i="7" l="1"/>
  <c r="O18" i="7" l="1"/>
  <c r="N19" i="7"/>
  <c r="O17" i="7"/>
  <c r="N16" i="7"/>
  <c r="O19" i="7"/>
  <c r="N18" i="7"/>
  <c r="N17" i="7"/>
  <c r="O16" i="7"/>
  <c r="O30" i="7"/>
  <c r="O31" i="7"/>
  <c r="O32" i="7"/>
  <c r="O33" i="7"/>
  <c r="N31" i="7"/>
  <c r="N32" i="7"/>
  <c r="N33" i="7"/>
  <c r="N30" i="7"/>
  <c r="D35" i="6" l="1"/>
  <c r="E35" i="6"/>
  <c r="D33" i="6"/>
  <c r="E33" i="6"/>
  <c r="C35" i="2" l="1"/>
  <c r="D35" i="2"/>
  <c r="C30" i="7"/>
  <c r="E27" i="7"/>
  <c r="E28" i="7"/>
  <c r="F37" i="6" s="1"/>
  <c r="E31" i="2"/>
  <c r="F32" i="3" s="1"/>
  <c r="E33" i="2"/>
  <c r="F34" i="3" s="1"/>
  <c r="F31" i="2"/>
  <c r="F33" i="2"/>
  <c r="D34" i="3"/>
  <c r="E34" i="3"/>
  <c r="C34" i="3"/>
  <c r="D32" i="3"/>
  <c r="E32" i="3"/>
  <c r="C32" i="3"/>
  <c r="F35" i="3" l="1"/>
  <c r="F7" i="2"/>
  <c r="B35" i="3"/>
  <c r="F27" i="2"/>
  <c r="F28" i="2"/>
  <c r="F29" i="2"/>
  <c r="F30" i="2"/>
  <c r="F32" i="2"/>
  <c r="F26" i="2"/>
  <c r="I43" i="8" l="1"/>
  <c r="H43" i="8"/>
  <c r="J55" i="8"/>
  <c r="I55" i="8"/>
  <c r="H55" i="8"/>
  <c r="L26" i="2" l="1"/>
  <c r="L25" i="2"/>
  <c r="K26" i="2"/>
  <c r="K25" i="2"/>
  <c r="I19" i="2"/>
  <c r="J19" i="2"/>
  <c r="K19" i="2"/>
  <c r="L19" i="2"/>
  <c r="M19" i="2"/>
  <c r="N19" i="2"/>
  <c r="O19" i="2"/>
  <c r="B2" i="2"/>
  <c r="E9" i="2" l="1"/>
  <c r="F25" i="3" s="1"/>
  <c r="D3" i="6" l="1"/>
  <c r="F3" i="6"/>
  <c r="J57" i="9"/>
  <c r="I58" i="9"/>
  <c r="I59" i="9" s="1"/>
  <c r="J42" i="9"/>
  <c r="I42" i="9"/>
  <c r="H42" i="9"/>
  <c r="I41" i="9"/>
  <c r="I43" i="9" s="1"/>
  <c r="H41" i="9"/>
  <c r="H43" i="9" s="1"/>
  <c r="J29" i="9"/>
  <c r="I29" i="9"/>
  <c r="I31" i="9" s="1"/>
  <c r="H29" i="9"/>
  <c r="H31" i="9" s="1"/>
  <c r="J26" i="9"/>
  <c r="J25" i="9"/>
  <c r="J31" i="9" s="1"/>
  <c r="J23" i="9"/>
  <c r="J58" i="9" s="1"/>
  <c r="J59" i="9" s="1"/>
  <c r="J22" i="9"/>
  <c r="J56" i="8"/>
  <c r="I56" i="8"/>
  <c r="H56" i="8"/>
  <c r="F52" i="8"/>
  <c r="I42" i="8"/>
  <c r="H42" i="8"/>
  <c r="I41" i="8"/>
  <c r="I45" i="8" s="1"/>
  <c r="H41" i="8"/>
  <c r="H45" i="8" s="1"/>
  <c r="F37" i="8"/>
  <c r="J30" i="8"/>
  <c r="I30" i="8"/>
  <c r="I32" i="8" s="1"/>
  <c r="H30" i="8"/>
  <c r="H32" i="8" s="1"/>
  <c r="J27" i="8"/>
  <c r="J26" i="8"/>
  <c r="J25" i="8"/>
  <c r="J32" i="8" s="1"/>
  <c r="J23" i="8"/>
  <c r="J58" i="8" s="1"/>
  <c r="J59" i="8" s="1"/>
  <c r="I23" i="8"/>
  <c r="I58" i="8" s="1"/>
  <c r="I59" i="8" s="1"/>
  <c r="H23" i="8"/>
  <c r="H58" i="8" s="1"/>
  <c r="H59" i="8" s="1"/>
  <c r="J22" i="8"/>
  <c r="J43" i="8" s="1"/>
  <c r="J41" i="9" l="1"/>
  <c r="J43" i="9" s="1"/>
  <c r="F54" i="3"/>
  <c r="J41" i="8"/>
  <c r="J45" i="8" s="1"/>
  <c r="J42" i="8"/>
  <c r="H34" i="9"/>
  <c r="I45" i="9"/>
  <c r="I34" i="9"/>
  <c r="H45" i="9"/>
  <c r="J34" i="9"/>
  <c r="J37" i="9" s="1"/>
  <c r="J45" i="9"/>
  <c r="H58" i="9"/>
  <c r="H59" i="9" s="1"/>
  <c r="H34" i="8"/>
  <c r="H37" i="8" s="1"/>
  <c r="I48" i="8"/>
  <c r="I46" i="8"/>
  <c r="I34" i="8"/>
  <c r="I37" i="8" s="1"/>
  <c r="H48" i="8"/>
  <c r="H46" i="8"/>
  <c r="H50" i="8" s="1"/>
  <c r="H52" i="8" s="1"/>
  <c r="J34" i="8"/>
  <c r="J61" i="8" s="1"/>
  <c r="J48" i="9" l="1"/>
  <c r="J51" i="9" s="1"/>
  <c r="J37" i="8"/>
  <c r="J61" i="9"/>
  <c r="E18" i="2"/>
  <c r="F18" i="2" s="1"/>
  <c r="F46" i="3"/>
  <c r="D18" i="2"/>
  <c r="C18" i="2" s="1"/>
  <c r="D46" i="3" s="1"/>
  <c r="E46" i="3"/>
  <c r="I48" i="9"/>
  <c r="I51" i="9" s="1"/>
  <c r="I37" i="9"/>
  <c r="I61" i="9"/>
  <c r="H37" i="9"/>
  <c r="H48" i="9"/>
  <c r="H51" i="9" s="1"/>
  <c r="H61" i="9"/>
  <c r="J48" i="8"/>
  <c r="J46" i="8"/>
  <c r="J50" i="8" s="1"/>
  <c r="I63" i="8"/>
  <c r="I50" i="8"/>
  <c r="J63" i="8"/>
  <c r="H63" i="8"/>
  <c r="I61" i="8"/>
  <c r="H61" i="8"/>
  <c r="H63" i="9" l="1"/>
  <c r="D56" i="3"/>
  <c r="I63" i="9"/>
  <c r="E56" i="3"/>
  <c r="J63" i="9"/>
  <c r="F56" i="3"/>
  <c r="I52" i="8"/>
  <c r="D15" i="7"/>
  <c r="J52" i="8"/>
  <c r="E15" i="7"/>
  <c r="F49" i="6" s="1"/>
  <c r="E7" i="2"/>
  <c r="E10" i="2"/>
  <c r="F26" i="3" s="1"/>
  <c r="E27" i="2"/>
  <c r="F30" i="3" s="1"/>
  <c r="E28" i="2"/>
  <c r="E29" i="2"/>
  <c r="E30" i="2"/>
  <c r="E32" i="2"/>
  <c r="F33" i="3" s="1"/>
  <c r="E26" i="2"/>
  <c r="F31" i="3" l="1"/>
  <c r="F29" i="3"/>
  <c r="E35" i="2"/>
  <c r="E49" i="6"/>
  <c r="C15" i="7"/>
  <c r="D49" i="6" s="1"/>
  <c r="E22" i="7"/>
  <c r="E23" i="7"/>
  <c r="E24" i="7"/>
  <c r="E25" i="7"/>
  <c r="F35" i="6" s="1"/>
  <c r="E26" i="7"/>
  <c r="F36" i="6" s="1"/>
  <c r="E21" i="7"/>
  <c r="F33" i="6" s="1"/>
  <c r="E8" i="7"/>
  <c r="V39" i="2"/>
  <c r="E11" i="2" l="1"/>
  <c r="E16" i="2" s="1"/>
  <c r="F34" i="6"/>
  <c r="F36" i="3"/>
  <c r="E36" i="2"/>
  <c r="F38" i="3" s="1"/>
  <c r="E30" i="7"/>
  <c r="F39" i="6" s="1"/>
  <c r="E9" i="7"/>
  <c r="F29" i="6" s="1"/>
  <c r="F28" i="6"/>
  <c r="D7" i="2"/>
  <c r="B7" i="2"/>
  <c r="E12" i="2" l="1"/>
  <c r="E13" i="2" s="1"/>
  <c r="F40" i="3" s="1"/>
  <c r="E20" i="2"/>
  <c r="F48" i="3" s="1"/>
  <c r="F50" i="3" s="1"/>
  <c r="F42" i="3"/>
  <c r="F44" i="3" s="1"/>
  <c r="E29" i="3"/>
  <c r="E30" i="3"/>
  <c r="E33" i="3"/>
  <c r="O52" i="2"/>
  <c r="N52" i="2"/>
  <c r="M52" i="2"/>
  <c r="L52" i="2"/>
  <c r="K52" i="2"/>
  <c r="J52" i="2"/>
  <c r="I52" i="2"/>
  <c r="O51" i="2"/>
  <c r="N51" i="2"/>
  <c r="M51" i="2"/>
  <c r="L51" i="2"/>
  <c r="K51" i="2"/>
  <c r="D9" i="2" s="1"/>
  <c r="F34" i="2" s="1"/>
  <c r="J51" i="2"/>
  <c r="I51" i="2"/>
  <c r="O50" i="2"/>
  <c r="N50" i="2"/>
  <c r="M50" i="2"/>
  <c r="L50" i="2"/>
  <c r="K50" i="2"/>
  <c r="J50" i="2"/>
  <c r="I50" i="2"/>
  <c r="O49" i="2"/>
  <c r="N49" i="2"/>
  <c r="M49" i="2"/>
  <c r="L49" i="2"/>
  <c r="K49" i="2"/>
  <c r="J49" i="2"/>
  <c r="I49" i="2"/>
  <c r="K27" i="2"/>
  <c r="B9" i="2" s="1"/>
  <c r="L27" i="2"/>
  <c r="B11" i="2" l="1"/>
  <c r="B12" i="2" s="1"/>
  <c r="B13" i="2" s="1"/>
  <c r="B10" i="2"/>
  <c r="D10" i="2"/>
  <c r="E26" i="3" s="1"/>
  <c r="F35" i="2"/>
  <c r="F9" i="2"/>
  <c r="E25" i="3"/>
  <c r="D36" i="2"/>
  <c r="C8" i="7"/>
  <c r="E35" i="3" l="1"/>
  <c r="F10" i="2"/>
  <c r="F11" i="2"/>
  <c r="F12" i="2" s="1"/>
  <c r="F13" i="2" s="1"/>
  <c r="D11" i="2"/>
  <c r="D12" i="2" s="1"/>
  <c r="D13" i="2" s="1"/>
  <c r="C39" i="6"/>
  <c r="D39" i="6"/>
  <c r="C35" i="6"/>
  <c r="C36" i="6"/>
  <c r="C33" i="6"/>
  <c r="D36" i="6"/>
  <c r="D26" i="7"/>
  <c r="D30" i="7" s="1"/>
  <c r="C9" i="7"/>
  <c r="D16" i="2" l="1"/>
  <c r="D20" i="2" s="1"/>
  <c r="E40" i="3"/>
  <c r="F16" i="2"/>
  <c r="F36" i="2"/>
  <c r="E38" i="3" s="1"/>
  <c r="E36" i="3"/>
  <c r="E10" i="7"/>
  <c r="E32" i="7"/>
  <c r="F41" i="6" s="1"/>
  <c r="C10" i="7"/>
  <c r="C13" i="7" s="1"/>
  <c r="C17" i="7" s="1"/>
  <c r="D32" i="7"/>
  <c r="E41" i="6" s="1"/>
  <c r="C32" i="7"/>
  <c r="E39" i="6"/>
  <c r="B32" i="7"/>
  <c r="C41" i="6" s="1"/>
  <c r="E36" i="6"/>
  <c r="D29" i="6"/>
  <c r="D28" i="6"/>
  <c r="F20" i="2" l="1"/>
  <c r="E48" i="3" s="1"/>
  <c r="E42" i="3"/>
  <c r="D45" i="6"/>
  <c r="D51" i="6"/>
  <c r="E11" i="7"/>
  <c r="E12" i="7" s="1"/>
  <c r="F43" i="6" s="1"/>
  <c r="F30" i="6"/>
  <c r="E13" i="7"/>
  <c r="D41" i="6"/>
  <c r="D30" i="6"/>
  <c r="C11" i="7"/>
  <c r="C12" i="7" s="1"/>
  <c r="D43" i="6" s="1"/>
  <c r="F45" i="6" l="1"/>
  <c r="E17" i="7"/>
  <c r="F51" i="6" s="1"/>
  <c r="B4" i="7"/>
  <c r="P6" i="7"/>
  <c r="P5" i="7"/>
  <c r="O11" i="7"/>
  <c r="N11" i="7"/>
  <c r="O10" i="7"/>
  <c r="N10" i="7"/>
  <c r="P9" i="7"/>
  <c r="O9" i="7"/>
  <c r="N9" i="7"/>
  <c r="O8" i="7"/>
  <c r="N8" i="7"/>
  <c r="M9" i="7"/>
  <c r="O6" i="7"/>
  <c r="O5" i="7"/>
  <c r="O4" i="7"/>
  <c r="Q4" i="7"/>
  <c r="Q5" i="7"/>
  <c r="Q6" i="7"/>
  <c r="Q7" i="7"/>
  <c r="Q8" i="7"/>
  <c r="Q9" i="7"/>
  <c r="Q10" i="7"/>
  <c r="N4" i="7"/>
  <c r="N6" i="7"/>
  <c r="N5" i="7"/>
  <c r="M10" i="7"/>
  <c r="M8" i="7"/>
  <c r="M7" i="7"/>
  <c r="M6" i="7"/>
  <c r="M5" i="7"/>
  <c r="P10" i="7"/>
  <c r="P8" i="7"/>
  <c r="P7" i="7"/>
  <c r="P4" i="7"/>
  <c r="M4" i="7"/>
  <c r="M11" i="7"/>
  <c r="L9" i="7"/>
  <c r="L8" i="7"/>
  <c r="L7" i="7"/>
  <c r="L6" i="7"/>
  <c r="L5" i="7"/>
  <c r="L4" i="7"/>
  <c r="N7" i="7"/>
  <c r="O7" i="7"/>
  <c r="M22" i="7"/>
  <c r="M21" i="7"/>
  <c r="N21" i="7"/>
  <c r="O21" i="7"/>
  <c r="Q17" i="7"/>
  <c r="Q18" i="7"/>
  <c r="Q19" i="7"/>
  <c r="Q20" i="7"/>
  <c r="Q21" i="7"/>
  <c r="Q22" i="7"/>
  <c r="Q16" i="7"/>
  <c r="R16" i="7"/>
  <c r="R17" i="7"/>
  <c r="R18" i="7"/>
  <c r="R19" i="7"/>
  <c r="R20" i="7"/>
  <c r="R21" i="7"/>
  <c r="R22" i="7"/>
  <c r="P23" i="7"/>
  <c r="M23" i="7"/>
  <c r="N23" i="7"/>
  <c r="O23" i="7"/>
  <c r="Q23" i="7"/>
  <c r="R23" i="7"/>
  <c r="L23" i="7"/>
  <c r="L22" i="7"/>
  <c r="N22" i="7"/>
  <c r="O22" i="7"/>
  <c r="P22" i="7"/>
  <c r="P21" i="7"/>
  <c r="B8" i="7"/>
  <c r="B9" i="7" s="1"/>
  <c r="L17" i="7"/>
  <c r="L18" i="7"/>
  <c r="L19" i="7"/>
  <c r="L20" i="7"/>
  <c r="L21" i="7"/>
  <c r="L16" i="7"/>
  <c r="O7" i="5"/>
  <c r="O5" i="5"/>
  <c r="O6" i="5"/>
  <c r="M5" i="5"/>
  <c r="N5" i="5"/>
  <c r="M6" i="5"/>
  <c r="N6" i="5"/>
  <c r="N7" i="5"/>
  <c r="M7" i="5"/>
  <c r="Q7" i="5"/>
  <c r="P8" i="5"/>
  <c r="P7" i="5"/>
  <c r="P6" i="5"/>
  <c r="P5" i="5"/>
  <c r="O8" i="5"/>
  <c r="N8" i="5"/>
  <c r="M8" i="5"/>
  <c r="L8" i="5"/>
  <c r="L7" i="5"/>
  <c r="Q8" i="5"/>
  <c r="R6" i="5"/>
  <c r="R7" i="5"/>
  <c r="R8" i="5"/>
  <c r="R5" i="5"/>
  <c r="Q6" i="5"/>
  <c r="Q5" i="5"/>
  <c r="L6" i="5"/>
  <c r="L5" i="5"/>
  <c r="H6" i="5"/>
  <c r="H7" i="5"/>
  <c r="H8" i="5"/>
  <c r="H5" i="5"/>
  <c r="B8" i="5"/>
  <c r="C8" i="5"/>
  <c r="D8" i="5"/>
  <c r="E8" i="5"/>
  <c r="F8" i="5"/>
  <c r="G8" i="5"/>
  <c r="G6" i="5"/>
  <c r="G7" i="5"/>
  <c r="G5" i="5"/>
  <c r="F6" i="5"/>
  <c r="F7" i="5"/>
  <c r="F5" i="5"/>
  <c r="B6" i="5"/>
  <c r="B7" i="5"/>
  <c r="B5" i="5"/>
  <c r="C6" i="5"/>
  <c r="D6" i="5"/>
  <c r="D5" i="5"/>
  <c r="C5" i="5"/>
  <c r="C7" i="5"/>
  <c r="D7" i="5"/>
  <c r="E7" i="5"/>
  <c r="E6" i="5"/>
  <c r="E5" i="5"/>
  <c r="D30" i="3"/>
  <c r="D33" i="3"/>
  <c r="D36" i="3"/>
  <c r="D29" i="3"/>
  <c r="F47" i="6" l="1"/>
  <c r="F53" i="6"/>
  <c r="D8" i="7"/>
  <c r="E28" i="6" s="1"/>
  <c r="B10" i="7"/>
  <c r="B36" i="2"/>
  <c r="C38" i="3" s="1"/>
  <c r="C36" i="2"/>
  <c r="D38" i="3" s="1"/>
  <c r="C29" i="3"/>
  <c r="C30" i="3"/>
  <c r="C33" i="3"/>
  <c r="D9" i="7" l="1"/>
  <c r="D10" i="7" s="1"/>
  <c r="D13" i="7" s="1"/>
  <c r="D17" i="7" s="1"/>
  <c r="E51" i="6" s="1"/>
  <c r="C36" i="3"/>
  <c r="C28" i="6"/>
  <c r="D3" i="3"/>
  <c r="E29" i="6" l="1"/>
  <c r="E45" i="6"/>
  <c r="E30" i="6"/>
  <c r="D11" i="7"/>
  <c r="D12" i="7" s="1"/>
  <c r="E43" i="6" s="1"/>
  <c r="I18" i="2"/>
  <c r="J18" i="2"/>
  <c r="K18" i="2"/>
  <c r="L18" i="2"/>
  <c r="M18" i="2"/>
  <c r="N18" i="2"/>
  <c r="O18" i="2"/>
  <c r="I20" i="2"/>
  <c r="J20" i="2"/>
  <c r="K20" i="2"/>
  <c r="L20" i="2"/>
  <c r="M20" i="2"/>
  <c r="N20" i="2"/>
  <c r="O20" i="2"/>
  <c r="I21" i="2"/>
  <c r="J21" i="2"/>
  <c r="K21" i="2"/>
  <c r="L21" i="2"/>
  <c r="M21" i="2"/>
  <c r="N21" i="2"/>
  <c r="O21" i="2"/>
  <c r="O17" i="2"/>
  <c r="N17" i="2"/>
  <c r="M17" i="2"/>
  <c r="L17" i="2"/>
  <c r="K17" i="2"/>
  <c r="J17" i="2"/>
  <c r="I17" i="2"/>
  <c r="C9" i="2" l="1"/>
  <c r="C10" i="2" s="1"/>
  <c r="F3" i="3"/>
  <c r="B4" i="2"/>
  <c r="C11" i="2" l="1"/>
  <c r="C16" i="2" s="1"/>
  <c r="D25" i="3"/>
  <c r="D26" i="3" s="1"/>
  <c r="C25" i="3"/>
  <c r="C20" i="2" l="1"/>
  <c r="D48" i="3" s="1"/>
  <c r="D42" i="3"/>
  <c r="C12" i="2"/>
  <c r="C13" i="2" s="1"/>
  <c r="D40" i="3" s="1"/>
  <c r="C40" i="3"/>
  <c r="B14" i="2"/>
  <c r="B16" i="2" s="1"/>
  <c r="B20" i="2" s="1"/>
  <c r="C26" i="3"/>
  <c r="C42" i="3" l="1"/>
  <c r="C48" i="3"/>
  <c r="B13" i="7"/>
  <c r="C29" i="6"/>
  <c r="C56" i="3" l="1"/>
  <c r="D58" i="3"/>
  <c r="E50" i="3"/>
  <c r="E58" i="3"/>
  <c r="D50" i="3"/>
  <c r="F58" i="3"/>
  <c r="E44" i="3"/>
  <c r="D44" i="3"/>
  <c r="C30" i="6"/>
  <c r="B17" i="7"/>
  <c r="C51" i="6" s="1"/>
  <c r="B11" i="7"/>
  <c r="B12" i="7" s="1"/>
  <c r="C43" i="6" s="1"/>
  <c r="D53" i="6" l="1"/>
  <c r="E53" i="6"/>
  <c r="C45" i="6"/>
  <c r="C14" i="7"/>
  <c r="E14" i="7"/>
  <c r="D14" i="7"/>
  <c r="D47" i="6" l="1"/>
  <c r="E47" i="6"/>
</calcChain>
</file>

<file path=xl/comments1.xml><?xml version="1.0" encoding="utf-8"?>
<comments xmlns="http://schemas.openxmlformats.org/spreadsheetml/2006/main">
  <authors>
    <author>Harrison</author>
  </authors>
  <commentList>
    <comment ref="I46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of R2 3L E3H &amp; U3H</t>
        </r>
      </text>
    </comment>
  </commentList>
</comments>
</file>

<file path=xl/comments2.xml><?xml version="1.0" encoding="utf-8"?>
<comments xmlns="http://schemas.openxmlformats.org/spreadsheetml/2006/main">
  <authors>
    <author>Harrison</author>
  </authors>
  <commentList>
    <comment ref="L2" authorId="0">
      <text>
        <r>
          <rPr>
            <b/>
            <sz val="9"/>
            <color indexed="81"/>
            <rFont val="Tahoma"/>
            <family val="2"/>
          </rPr>
          <t>Harrison:</t>
        </r>
        <r>
          <rPr>
            <sz val="9"/>
            <color indexed="81"/>
            <rFont val="Tahoma"/>
            <family val="2"/>
          </rPr>
          <t xml:space="preserve">
Average of GB R3 &amp; R4L</t>
        </r>
      </text>
    </comment>
  </commentList>
</comments>
</file>

<file path=xl/sharedStrings.xml><?xml version="1.0" encoding="utf-8"?>
<sst xmlns="http://schemas.openxmlformats.org/spreadsheetml/2006/main" count="590" uniqueCount="216">
  <si>
    <t>insurance</t>
  </si>
  <si>
    <t>marketing levy</t>
  </si>
  <si>
    <t>inspection</t>
  </si>
  <si>
    <t>grading</t>
  </si>
  <si>
    <t>waste disposal</t>
  </si>
  <si>
    <t>3L</t>
  </si>
  <si>
    <t>3H</t>
  </si>
  <si>
    <t>4L</t>
  </si>
  <si>
    <t>4H</t>
  </si>
  <si>
    <t>E</t>
  </si>
  <si>
    <t>U</t>
  </si>
  <si>
    <t>R</t>
  </si>
  <si>
    <t>O</t>
  </si>
  <si>
    <t>P</t>
  </si>
  <si>
    <t>Eblex grid</t>
  </si>
  <si>
    <t>IoMMs</t>
  </si>
  <si>
    <t>Weight</t>
  </si>
  <si>
    <t>Example</t>
  </si>
  <si>
    <t>Price</t>
  </si>
  <si>
    <t>AHDB Sheep</t>
  </si>
  <si>
    <t>AHDB</t>
  </si>
  <si>
    <t>Check</t>
  </si>
  <si>
    <t>Max carcass weight</t>
  </si>
  <si>
    <t>Min carcass weight</t>
  </si>
  <si>
    <t>Min carcass deduct</t>
  </si>
  <si>
    <t>Num</t>
  </si>
  <si>
    <t>p/kg</t>
  </si>
  <si>
    <t>-</t>
  </si>
  <si>
    <t>AHDB number</t>
  </si>
  <si>
    <t>Gross p/kg</t>
  </si>
  <si>
    <t>Deductions p/kg</t>
  </si>
  <si>
    <t>Total deductions</t>
  </si>
  <si>
    <t>Net price</t>
  </si>
  <si>
    <t>Week ending</t>
  </si>
  <si>
    <t>Your Lamb value</t>
  </si>
  <si>
    <t>Max weight</t>
  </si>
  <si>
    <t>13-14.5</t>
  </si>
  <si>
    <t>-20p</t>
  </si>
  <si>
    <t>7-12.5</t>
  </si>
  <si>
    <t>-35p</t>
  </si>
  <si>
    <t>&lt;7</t>
  </si>
  <si>
    <t>value</t>
  </si>
  <si>
    <t>21kg</t>
  </si>
  <si>
    <t>Your figures</t>
  </si>
  <si>
    <t>Enter your data in boxes highlighted in Yellow</t>
  </si>
  <si>
    <t>Your lamb grade</t>
  </si>
  <si>
    <t>Realisation</t>
  </si>
  <si>
    <t>kg</t>
  </si>
  <si>
    <t>Transport contribution</t>
  </si>
  <si>
    <t>IoMMs  Pence</t>
  </si>
  <si>
    <t>Waste disposal</t>
  </si>
  <si>
    <t>Base price</t>
  </si>
  <si>
    <t>IoMMs Lamb Grid</t>
  </si>
  <si>
    <t xml:space="preserve">Base price </t>
  </si>
  <si>
    <t>Dunbia Lamb grid</t>
  </si>
  <si>
    <t>U+</t>
  </si>
  <si>
    <t>O+</t>
  </si>
  <si>
    <t>P+</t>
  </si>
  <si>
    <t>-P</t>
  </si>
  <si>
    <t>-O</t>
  </si>
  <si>
    <t>-U</t>
  </si>
  <si>
    <t>5L</t>
  </si>
  <si>
    <t>5H</t>
  </si>
  <si>
    <t>Dumbia</t>
  </si>
  <si>
    <t>Inspection</t>
  </si>
  <si>
    <t>WD/TSE</t>
  </si>
  <si>
    <t>Insurance</t>
  </si>
  <si>
    <t>Your grade</t>
  </si>
  <si>
    <t>Age</t>
  </si>
  <si>
    <t>O36M</t>
  </si>
  <si>
    <t>U36M</t>
  </si>
  <si>
    <t>Age data</t>
  </si>
  <si>
    <t xml:space="preserve">AHDB </t>
  </si>
  <si>
    <t>IoMMs Carcass cut offs</t>
  </si>
  <si>
    <t>Dunbia cut offs</t>
  </si>
  <si>
    <t>Weight from Cattle</t>
  </si>
  <si>
    <t>Your Steer Price</t>
  </si>
  <si>
    <t>Gross value</t>
  </si>
  <si>
    <t>Waste disposal/TSE</t>
  </si>
  <si>
    <t>Abattoir</t>
  </si>
  <si>
    <t xml:space="preserve">IoMMs </t>
  </si>
  <si>
    <t>Levy</t>
  </si>
  <si>
    <t>Grading</t>
  </si>
  <si>
    <t>Gross</t>
  </si>
  <si>
    <t>Net</t>
  </si>
  <si>
    <t>Value</t>
  </si>
  <si>
    <t>Net/kg</t>
  </si>
  <si>
    <t>After deductions</t>
  </si>
  <si>
    <t>Your Steer value</t>
  </si>
  <si>
    <t>Net animal value</t>
  </si>
  <si>
    <t>Dunbia</t>
  </si>
  <si>
    <t>Check Weight</t>
  </si>
  <si>
    <t>Check grade</t>
  </si>
  <si>
    <t>IoMMS</t>
  </si>
  <si>
    <t>Trim adjustment</t>
  </si>
  <si>
    <t>Kidney Knob &amp; channel fat</t>
  </si>
  <si>
    <t>Tail</t>
  </si>
  <si>
    <t>IoMMs rounding</t>
  </si>
  <si>
    <t>Your value</t>
  </si>
  <si>
    <t>Select Age and Grade from drop down boxes</t>
  </si>
  <si>
    <t>Select weight and Grade from dropdown boxes</t>
  </si>
  <si>
    <t>Marketing levy</t>
  </si>
  <si>
    <t>Your data</t>
  </si>
  <si>
    <t>Number of fat lambs</t>
  </si>
  <si>
    <t>Price per kg liveweight</t>
  </si>
  <si>
    <t>Average dead weight</t>
  </si>
  <si>
    <t>KO%</t>
  </si>
  <si>
    <t>Export certificate cost</t>
  </si>
  <si>
    <t xml:space="preserve">Steam packet </t>
  </si>
  <si>
    <t xml:space="preserve">Wagon </t>
  </si>
  <si>
    <t>Vet inspection cost Total</t>
  </si>
  <si>
    <t xml:space="preserve">MLC Levy per head </t>
  </si>
  <si>
    <t>Inspection charges etc</t>
  </si>
  <si>
    <t>Mart Commission %</t>
  </si>
  <si>
    <t>Insurance per head</t>
  </si>
  <si>
    <t>Lamb export costs.</t>
  </si>
  <si>
    <t>Your Data</t>
  </si>
  <si>
    <t>Ridged</t>
  </si>
  <si>
    <t>40ft trailer</t>
  </si>
  <si>
    <t>Number of cattle</t>
  </si>
  <si>
    <t>Export shipping costs</t>
  </si>
  <si>
    <t>Export certificate</t>
  </si>
  <si>
    <t>£/hr</t>
  </si>
  <si>
    <t>Inspection cost - Private Vet.</t>
  </si>
  <si>
    <t>Hours</t>
  </si>
  <si>
    <t>Cost per beast delivered to UK abattoir</t>
  </si>
  <si>
    <t>Cost per kg dead weight</t>
  </si>
  <si>
    <t>Abattoir costs</t>
  </si>
  <si>
    <t>Inspection charges</t>
  </si>
  <si>
    <t>Total</t>
  </si>
  <si>
    <t>Per head</t>
  </si>
  <si>
    <t>Total cost of load</t>
  </si>
  <si>
    <t>Total cost per head of direct export to slaughter</t>
  </si>
  <si>
    <t xml:space="preserve">Cost per kg direct export to slaughter </t>
  </si>
  <si>
    <t>UK auction costs</t>
  </si>
  <si>
    <t>Commission per head</t>
  </si>
  <si>
    <t>Per kg</t>
  </si>
  <si>
    <t>Total cost per head of export and Mart sale</t>
  </si>
  <si>
    <t>Inspection cost Vet Total</t>
  </si>
  <si>
    <t>Insurance 10p per head</t>
  </si>
  <si>
    <t>Export to abattoir</t>
  </si>
  <si>
    <t>Net return</t>
  </si>
  <si>
    <t>Cattle export costs.</t>
  </si>
  <si>
    <t>Number of Cattle</t>
  </si>
  <si>
    <t>Price p/kg</t>
  </si>
  <si>
    <t>Carcass weight</t>
  </si>
  <si>
    <t>Average p/kg</t>
  </si>
  <si>
    <t>Total Num</t>
  </si>
  <si>
    <t>Week Number</t>
  </si>
  <si>
    <t xml:space="preserve">Compararive data for week ending </t>
  </si>
  <si>
    <t>Number of lambs</t>
  </si>
  <si>
    <t>Compare Lamb Prices, IoMMs vs GB and with different dressing specifications</t>
  </si>
  <si>
    <t>Compare Cattle Prices, IoMMs vs GB and with different dressing specifications</t>
  </si>
  <si>
    <t>Insert your data into the boxes highlighted in Yellow</t>
  </si>
  <si>
    <t>Total cost</t>
  </si>
  <si>
    <t xml:space="preserve">Levy per head </t>
  </si>
  <si>
    <t>Cattle Export cost calculator</t>
  </si>
  <si>
    <t>Lamb Export cost calculator</t>
  </si>
  <si>
    <t>Cost per head delivered to UK abattoir</t>
  </si>
  <si>
    <t>Insurance £ per head</t>
  </si>
  <si>
    <t xml:space="preserve">Total cost per head of direct export to slaughter </t>
  </si>
  <si>
    <t>Total cost per head of Export and Mart sale excl VAT</t>
  </si>
  <si>
    <t>Steam packet</t>
  </si>
  <si>
    <t>Wagon</t>
  </si>
  <si>
    <t>Price per kg deadweight</t>
  </si>
  <si>
    <t xml:space="preserve">Cost per kg of export and sale at Mart </t>
  </si>
  <si>
    <t>Tail &amp; Kidney Knob</t>
  </si>
  <si>
    <t>Tail etc</t>
  </si>
  <si>
    <t>Abattoir pence</t>
  </si>
  <si>
    <t>Belly clipping</t>
  </si>
  <si>
    <t>Belly clipping etc</t>
  </si>
  <si>
    <t>Other</t>
  </si>
  <si>
    <t xml:space="preserve">Other </t>
  </si>
  <si>
    <t>Comparative data for week ending</t>
  </si>
  <si>
    <t>Deductions  £/head</t>
  </si>
  <si>
    <t>Deductions       £/head</t>
  </si>
  <si>
    <t>£/head</t>
  </si>
  <si>
    <t>Deductions  pence/head</t>
  </si>
  <si>
    <t>Pence/head</t>
  </si>
  <si>
    <t>Prices p/kg</t>
  </si>
  <si>
    <t>Great Britain</t>
  </si>
  <si>
    <t>Southern</t>
  </si>
  <si>
    <t>Central</t>
  </si>
  <si>
    <t>Northern</t>
  </si>
  <si>
    <t>Scotland</t>
  </si>
  <si>
    <t>Overall Average</t>
  </si>
  <si>
    <t>Numbers</t>
  </si>
  <si>
    <t>AHDB Northern</t>
  </si>
  <si>
    <t>Data date week ending</t>
  </si>
  <si>
    <t>Week</t>
  </si>
  <si>
    <t>Number   Northern</t>
  </si>
  <si>
    <t>Grading &amp; Inspection</t>
  </si>
  <si>
    <t>Delivery to abattoir</t>
  </si>
  <si>
    <t>Transport £</t>
  </si>
  <si>
    <t>UK Spec Pence</t>
  </si>
  <si>
    <t>IoMMs % of UK</t>
  </si>
  <si>
    <t>Total cost per kg dwt of Export and Mart sale excl VAT</t>
  </si>
  <si>
    <t>Bonus applied</t>
  </si>
  <si>
    <t>No of cattle</t>
  </si>
  <si>
    <t>http://beefandlamb.ahdb.org.uk/markets/deadweight-price-reports/deadweight-sheep-price-reporting/</t>
  </si>
  <si>
    <t>Export Inspection charges</t>
  </si>
  <si>
    <t>Mart Meat Inspection Charge</t>
  </si>
  <si>
    <t>M. I. C. Mart</t>
  </si>
  <si>
    <t>Average live wt weight</t>
  </si>
  <si>
    <t>kg dwt</t>
  </si>
  <si>
    <t>Export to UK Mart</t>
  </si>
  <si>
    <t>IoMMs % of UK Mart</t>
  </si>
  <si>
    <t>dwt</t>
  </si>
  <si>
    <t>Price dwt p/kg</t>
  </si>
  <si>
    <t xml:space="preserve">Gross p/kg  </t>
  </si>
  <si>
    <t>Net Price (weight deducts)</t>
  </si>
  <si>
    <t>Per kg dwt</t>
  </si>
  <si>
    <t>http://beefandlamb.ahdb.org.uk/markets/deadweight-price-reports/deadweight-cattle-prices/</t>
  </si>
  <si>
    <t xml:space="preserve">Standard lamb export costs </t>
  </si>
  <si>
    <t>Number of Lambs</t>
  </si>
  <si>
    <t>IoM Eblex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</si>
</sst>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0.0%"/>
    <numFmt numFmtId="166" formatCode="0.0"/>
    <numFmt numFmtId="167" formatCode="_-* #,##0_-;\-* #,##0_-;_-* &quot;-&quot;??_-;_-@_-"/>
  </numFmts>
  <fonts count="22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8.8000000000000007"/>
      <color theme="1"/>
      <name val="Arial"/>
      <family val="2"/>
    </font>
    <font>
      <b/>
      <sz val="8.8000000000000007"/>
      <color rgb="FFFFFFFF"/>
      <name val="Arial"/>
      <family val="2"/>
    </font>
    <font>
      <b/>
      <sz val="8.8000000000000007"/>
      <color theme="1"/>
      <name val="Arial"/>
      <family val="2"/>
    </font>
    <font>
      <b/>
      <sz val="11"/>
      <color rgb="FFFF0000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Tahoma"/>
      <family val="2"/>
    </font>
    <font>
      <sz val="11"/>
      <color indexed="52"/>
      <name val="Tahoma"/>
      <family val="2"/>
    </font>
    <font>
      <sz val="8.8000000000000007"/>
      <color rgb="FF008000"/>
      <name val="Arial"/>
      <family val="2"/>
    </font>
    <font>
      <sz val="8.8000000000000007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18561"/>
        <bgColor indexed="64"/>
      </patternFill>
    </fill>
    <fill>
      <patternFill patternType="solid">
        <fgColor rgb="FFDDE6D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1856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41856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/>
    <xf numFmtId="2" fontId="0" fillId="0" borderId="0" xfId="0" applyNumberFormat="1"/>
    <xf numFmtId="0" fontId="4" fillId="5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6" borderId="0" xfId="0" applyFont="1" applyFill="1" applyAlignment="1">
      <alignment horizontal="right" vertical="center" wrapText="1"/>
    </xf>
    <xf numFmtId="0" fontId="3" fillId="6" borderId="2" xfId="0" applyFont="1" applyFill="1" applyBorder="1" applyAlignment="1">
      <alignment horizontal="right" vertical="center" wrapText="1"/>
    </xf>
    <xf numFmtId="0" fontId="3" fillId="6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/>
    <xf numFmtId="0" fontId="0" fillId="0" borderId="9" xfId="0" quotePrefix="1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horizontal="right"/>
    </xf>
    <xf numFmtId="0" fontId="0" fillId="0" borderId="1" xfId="0" applyFill="1" applyBorder="1"/>
    <xf numFmtId="164" fontId="0" fillId="0" borderId="1" xfId="0" applyNumberFormat="1" applyBorder="1"/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64" fontId="0" fillId="0" borderId="19" xfId="0" applyNumberFormat="1" applyBorder="1"/>
    <xf numFmtId="9" fontId="0" fillId="0" borderId="1" xfId="0" applyNumberFormat="1" applyBorder="1"/>
    <xf numFmtId="9" fontId="0" fillId="0" borderId="20" xfId="0" applyNumberFormat="1" applyBorder="1"/>
    <xf numFmtId="0" fontId="0" fillId="0" borderId="21" xfId="0" applyBorder="1"/>
    <xf numFmtId="0" fontId="0" fillId="0" borderId="22" xfId="0" applyBorder="1"/>
    <xf numFmtId="0" fontId="0" fillId="0" borderId="5" xfId="0" applyBorder="1"/>
    <xf numFmtId="0" fontId="0" fillId="0" borderId="7" xfId="0" applyBorder="1"/>
    <xf numFmtId="0" fontId="0" fillId="0" borderId="0" xfId="0" applyProtection="1">
      <protection locked="0"/>
    </xf>
    <xf numFmtId="0" fontId="8" fillId="4" borderId="1" xfId="0" applyFon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0" borderId="0" xfId="0" applyProtection="1"/>
    <xf numFmtId="0" fontId="7" fillId="0" borderId="0" xfId="0" applyFont="1" applyProtection="1"/>
    <xf numFmtId="1" fontId="0" fillId="7" borderId="1" xfId="0" applyNumberFormat="1" applyFill="1" applyBorder="1" applyProtection="1"/>
    <xf numFmtId="0" fontId="8" fillId="7" borderId="1" xfId="0" applyFont="1" applyFill="1" applyBorder="1" applyProtection="1"/>
    <xf numFmtId="164" fontId="9" fillId="7" borderId="1" xfId="0" applyNumberFormat="1" applyFont="1" applyFill="1" applyBorder="1" applyProtection="1"/>
    <xf numFmtId="164" fontId="0" fillId="7" borderId="1" xfId="0" applyNumberFormat="1" applyFill="1" applyBorder="1" applyProtection="1"/>
    <xf numFmtId="0" fontId="7" fillId="0" borderId="1" xfId="0" applyFont="1" applyBorder="1" applyProtection="1"/>
    <xf numFmtId="0" fontId="7" fillId="0" borderId="0" xfId="0" applyFo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Protection="1"/>
    <xf numFmtId="164" fontId="7" fillId="0" borderId="0" xfId="0" applyNumberFormat="1" applyFont="1"/>
    <xf numFmtId="164" fontId="0" fillId="0" borderId="0" xfId="0" applyNumberFormat="1" applyProtection="1">
      <protection locked="0"/>
    </xf>
    <xf numFmtId="0" fontId="7" fillId="0" borderId="0" xfId="0" applyFont="1"/>
    <xf numFmtId="164" fontId="7" fillId="12" borderId="1" xfId="0" applyNumberFormat="1" applyFont="1" applyFill="1" applyBorder="1" applyProtection="1"/>
    <xf numFmtId="0" fontId="8" fillId="4" borderId="1" xfId="0" applyFon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7" fillId="12" borderId="1" xfId="0" applyNumberFormat="1" applyFont="1" applyFill="1" applyBorder="1" applyProtection="1"/>
    <xf numFmtId="0" fontId="17" fillId="0" borderId="0" xfId="0" applyFont="1" applyAlignment="1">
      <alignment horizontal="right" vertical="center" wrapText="1"/>
    </xf>
    <xf numFmtId="166" fontId="0" fillId="0" borderId="1" xfId="0" applyNumberFormat="1" applyBorder="1" applyAlignment="1">
      <alignment horizontal="center"/>
    </xf>
    <xf numFmtId="0" fontId="0" fillId="13" borderId="0" xfId="0" applyFill="1" applyProtection="1"/>
    <xf numFmtId="0" fontId="0" fillId="11" borderId="0" xfId="0" applyFill="1" applyProtection="1"/>
    <xf numFmtId="0" fontId="7" fillId="11" borderId="1" xfId="0" applyFont="1" applyFill="1" applyBorder="1" applyProtection="1"/>
    <xf numFmtId="0" fontId="0" fillId="11" borderId="1" xfId="0" applyFill="1" applyBorder="1" applyProtection="1"/>
    <xf numFmtId="0" fontId="0" fillId="11" borderId="1" xfId="0" applyFill="1" applyBorder="1" applyAlignment="1" applyProtection="1">
      <alignment horizontal="right"/>
    </xf>
    <xf numFmtId="2" fontId="7" fillId="12" borderId="1" xfId="0" applyNumberFormat="1" applyFont="1" applyFill="1" applyBorder="1" applyProtection="1"/>
    <xf numFmtId="0" fontId="0" fillId="14" borderId="0" xfId="0" applyFill="1" applyProtection="1"/>
    <xf numFmtId="2" fontId="7" fillId="14" borderId="0" xfId="0" applyNumberFormat="1" applyFont="1" applyFill="1" applyProtection="1"/>
    <xf numFmtId="0" fontId="7" fillId="14" borderId="0" xfId="0" applyFont="1" applyFill="1" applyProtection="1"/>
    <xf numFmtId="9" fontId="7" fillId="14" borderId="0" xfId="0" applyNumberFormat="1" applyFont="1" applyFill="1" applyProtection="1"/>
    <xf numFmtId="0" fontId="6" fillId="14" borderId="0" xfId="0" applyFont="1" applyFill="1" applyProtection="1"/>
    <xf numFmtId="0" fontId="2" fillId="14" borderId="0" xfId="0" applyFont="1" applyFill="1" applyProtection="1"/>
    <xf numFmtId="164" fontId="7" fillId="14" borderId="0" xfId="0" applyNumberFormat="1" applyFont="1" applyFill="1" applyProtection="1"/>
    <xf numFmtId="0" fontId="0" fillId="12" borderId="1" xfId="0" applyFill="1" applyBorder="1" applyProtection="1"/>
    <xf numFmtId="1" fontId="0" fillId="11" borderId="1" xfId="0" applyNumberFormat="1" applyFill="1" applyBorder="1" applyAlignment="1" applyProtection="1">
      <alignment horizontal="right"/>
    </xf>
    <xf numFmtId="0" fontId="0" fillId="0" borderId="19" xfId="0" applyBorder="1" applyAlignment="1">
      <alignment horizontal="right"/>
    </xf>
    <xf numFmtId="0" fontId="0" fillId="12" borderId="1" xfId="0" applyFill="1" applyBorder="1" applyAlignment="1" applyProtection="1">
      <alignment horizontal="center"/>
    </xf>
    <xf numFmtId="164" fontId="9" fillId="12" borderId="1" xfId="0" applyNumberFormat="1" applyFont="1" applyFill="1" applyBorder="1" applyProtection="1"/>
    <xf numFmtId="0" fontId="7" fillId="12" borderId="1" xfId="0" applyFont="1" applyFill="1" applyBorder="1" applyProtection="1"/>
    <xf numFmtId="1" fontId="0" fillId="12" borderId="1" xfId="0" applyNumberFormat="1" applyFill="1" applyBorder="1" applyProtection="1"/>
    <xf numFmtId="164" fontId="0" fillId="12" borderId="1" xfId="0" applyNumberFormat="1" applyFill="1" applyBorder="1" applyProtection="1"/>
    <xf numFmtId="0" fontId="0" fillId="13" borderId="0" xfId="0" applyFont="1" applyFill="1" applyProtection="1"/>
    <xf numFmtId="0" fontId="0" fillId="11" borderId="0" xfId="0" applyFont="1" applyFill="1" applyProtection="1"/>
    <xf numFmtId="0" fontId="15" fillId="11" borderId="1" xfId="0" applyFont="1" applyFill="1" applyBorder="1" applyAlignment="1" applyProtection="1">
      <alignment horizontal="center"/>
    </xf>
    <xf numFmtId="0" fontId="8" fillId="12" borderId="1" xfId="0" applyFont="1" applyFill="1" applyBorder="1" applyAlignment="1" applyProtection="1">
      <alignment horizontal="right"/>
    </xf>
    <xf numFmtId="0" fontId="0" fillId="9" borderId="1" xfId="0" applyFont="1" applyFill="1" applyBorder="1" applyAlignment="1" applyProtection="1">
      <alignment horizontal="right"/>
    </xf>
    <xf numFmtId="0" fontId="0" fillId="12" borderId="1" xfId="0" applyFont="1" applyFill="1" applyBorder="1" applyAlignment="1" applyProtection="1">
      <alignment horizontal="right"/>
    </xf>
    <xf numFmtId="0" fontId="8" fillId="11" borderId="0" xfId="0" applyFont="1" applyFill="1" applyProtection="1"/>
    <xf numFmtId="164" fontId="0" fillId="9" borderId="1" xfId="0" applyNumberFormat="1" applyFont="1" applyFill="1" applyBorder="1" applyAlignment="1" applyProtection="1">
      <alignment horizontal="right"/>
    </xf>
    <xf numFmtId="164" fontId="0" fillId="12" borderId="1" xfId="0" applyNumberFormat="1" applyFont="1" applyFill="1" applyBorder="1" applyAlignment="1" applyProtection="1">
      <alignment horizontal="right"/>
    </xf>
    <xf numFmtId="0" fontId="9" fillId="11" borderId="0" xfId="0" applyFont="1" applyFill="1" applyProtection="1"/>
    <xf numFmtId="164" fontId="0" fillId="7" borderId="1" xfId="0" applyNumberFormat="1" applyFont="1" applyFill="1" applyBorder="1" applyAlignment="1" applyProtection="1">
      <alignment horizontal="right"/>
    </xf>
    <xf numFmtId="0" fontId="8" fillId="11" borderId="0" xfId="0" applyFont="1" applyFill="1" applyAlignment="1" applyProtection="1">
      <alignment horizontal="right"/>
    </xf>
    <xf numFmtId="164" fontId="0" fillId="12" borderId="0" xfId="0" applyNumberFormat="1" applyFont="1" applyFill="1" applyProtection="1"/>
    <xf numFmtId="2" fontId="0" fillId="7" borderId="1" xfId="0" applyNumberFormat="1" applyFont="1" applyFill="1" applyBorder="1" applyAlignment="1" applyProtection="1">
      <alignment horizontal="right"/>
    </xf>
    <xf numFmtId="164" fontId="0" fillId="10" borderId="1" xfId="0" applyNumberFormat="1" applyFont="1" applyFill="1" applyBorder="1" applyAlignment="1" applyProtection="1">
      <alignment horizontal="right"/>
    </xf>
    <xf numFmtId="164" fontId="9" fillId="7" borderId="1" xfId="0" applyNumberFormat="1" applyFont="1" applyFill="1" applyBorder="1" applyAlignment="1" applyProtection="1">
      <alignment horizontal="right"/>
    </xf>
    <xf numFmtId="164" fontId="9" fillId="12" borderId="1" xfId="0" applyNumberFormat="1" applyFont="1" applyFill="1" applyBorder="1" applyAlignment="1" applyProtection="1">
      <alignment horizontal="right"/>
    </xf>
    <xf numFmtId="166" fontId="0" fillId="12" borderId="1" xfId="0" applyNumberFormat="1" applyFont="1" applyFill="1" applyBorder="1" applyProtection="1"/>
    <xf numFmtId="0" fontId="8" fillId="11" borderId="1" xfId="0" applyFont="1" applyFill="1" applyBorder="1" applyAlignment="1" applyProtection="1">
      <alignment horizontal="left"/>
    </xf>
    <xf numFmtId="164" fontId="7" fillId="7" borderId="1" xfId="0" applyNumberFormat="1" applyFont="1" applyFill="1" applyBorder="1" applyAlignment="1" applyProtection="1">
      <alignment horizontal="right"/>
    </xf>
    <xf numFmtId="164" fontId="7" fillId="12" borderId="1" xfId="0" applyNumberFormat="1" applyFont="1" applyFill="1" applyBorder="1" applyAlignment="1" applyProtection="1">
      <alignment horizontal="right"/>
    </xf>
    <xf numFmtId="0" fontId="9" fillId="11" borderId="0" xfId="0" applyFont="1" applyFill="1" applyBorder="1" applyProtection="1"/>
    <xf numFmtId="0" fontId="9" fillId="11" borderId="0" xfId="0" applyFont="1" applyFill="1" applyBorder="1" applyAlignment="1" applyProtection="1">
      <alignment horizontal="right"/>
    </xf>
    <xf numFmtId="0" fontId="0" fillId="11" borderId="0" xfId="0" applyFont="1" applyFill="1" applyAlignment="1" applyProtection="1">
      <alignment horizontal="right"/>
    </xf>
    <xf numFmtId="164" fontId="9" fillId="15" borderId="1" xfId="0" applyNumberFormat="1" applyFont="1" applyFill="1" applyBorder="1" applyAlignment="1" applyProtection="1">
      <alignment horizontal="right"/>
    </xf>
    <xf numFmtId="166" fontId="9" fillId="12" borderId="0" xfId="0" applyNumberFormat="1" applyFont="1" applyFill="1" applyProtection="1"/>
    <xf numFmtId="0" fontId="0" fillId="11" borderId="0" xfId="0" applyFont="1" applyFill="1" applyAlignment="1" applyProtection="1">
      <alignment horizontal="left"/>
    </xf>
    <xf numFmtId="10" fontId="9" fillId="12" borderId="0" xfId="0" applyNumberFormat="1" applyFont="1" applyFill="1" applyProtection="1"/>
    <xf numFmtId="0" fontId="8" fillId="11" borderId="0" xfId="0" applyFont="1" applyFill="1" applyAlignment="1" applyProtection="1">
      <alignment horizontal="left"/>
    </xf>
    <xf numFmtId="164" fontId="0" fillId="15" borderId="1" xfId="0" applyNumberFormat="1" applyFont="1" applyFill="1" applyBorder="1" applyAlignment="1" applyProtection="1">
      <alignment horizontal="right"/>
    </xf>
    <xf numFmtId="164" fontId="9" fillId="15" borderId="23" xfId="0" applyNumberFormat="1" applyFont="1" applyFill="1" applyBorder="1" applyAlignment="1" applyProtection="1">
      <alignment horizontal="right"/>
    </xf>
    <xf numFmtId="164" fontId="9" fillId="12" borderId="24" xfId="0" applyNumberFormat="1" applyFont="1" applyFill="1" applyBorder="1" applyAlignment="1" applyProtection="1">
      <alignment horizontal="right"/>
    </xf>
    <xf numFmtId="0" fontId="8" fillId="4" borderId="0" xfId="0" applyFont="1" applyFill="1" applyProtection="1"/>
    <xf numFmtId="0" fontId="0" fillId="4" borderId="0" xfId="0" applyFont="1" applyFill="1" applyProtection="1"/>
    <xf numFmtId="0" fontId="8" fillId="12" borderId="1" xfId="0" applyFont="1" applyFill="1" applyBorder="1" applyProtection="1"/>
    <xf numFmtId="0" fontId="0" fillId="4" borderId="1" xfId="0" applyFont="1" applyFill="1" applyBorder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1" fontId="0" fillId="4" borderId="1" xfId="0" applyNumberFormat="1" applyFont="1" applyFill="1" applyBorder="1" applyProtection="1">
      <protection locked="0"/>
    </xf>
    <xf numFmtId="165" fontId="0" fillId="4" borderId="1" xfId="0" applyNumberFormat="1" applyFont="1" applyFill="1" applyBorder="1" applyProtection="1">
      <protection locked="0"/>
    </xf>
    <xf numFmtId="10" fontId="0" fillId="4" borderId="1" xfId="0" applyNumberFormat="1" applyFont="1" applyFill="1" applyBorder="1" applyProtection="1">
      <protection locked="0"/>
    </xf>
    <xf numFmtId="0" fontId="0" fillId="14" borderId="0" xfId="0" applyFont="1" applyFill="1" applyProtection="1"/>
    <xf numFmtId="0" fontId="7" fillId="7" borderId="1" xfId="0" applyFont="1" applyFill="1" applyBorder="1" applyAlignment="1" applyProtection="1">
      <alignment horizontal="right"/>
    </xf>
    <xf numFmtId="0" fontId="7" fillId="12" borderId="1" xfId="0" applyFont="1" applyFill="1" applyBorder="1" applyAlignment="1" applyProtection="1">
      <alignment horizontal="right"/>
    </xf>
    <xf numFmtId="0" fontId="14" fillId="11" borderId="0" xfId="0" applyFont="1" applyFill="1" applyProtection="1"/>
    <xf numFmtId="0" fontId="0" fillId="14" borderId="0" xfId="0" applyFont="1" applyFill="1" applyAlignment="1" applyProtection="1">
      <alignment horizontal="right"/>
    </xf>
    <xf numFmtId="164" fontId="0" fillId="11" borderId="0" xfId="0" applyNumberFormat="1" applyFont="1" applyFill="1" applyProtection="1"/>
    <xf numFmtId="2" fontId="7" fillId="7" borderId="1" xfId="0" applyNumberFormat="1" applyFont="1" applyFill="1" applyBorder="1" applyAlignment="1" applyProtection="1">
      <alignment horizontal="right"/>
    </xf>
    <xf numFmtId="0" fontId="16" fillId="14" borderId="0" xfId="0" applyFont="1" applyFill="1" applyAlignment="1" applyProtection="1">
      <alignment horizontal="right"/>
    </xf>
    <xf numFmtId="0" fontId="14" fillId="14" borderId="0" xfId="0" applyFont="1" applyFill="1" applyProtection="1"/>
    <xf numFmtId="0" fontId="13" fillId="14" borderId="0" xfId="0" applyFont="1" applyFill="1" applyProtection="1"/>
    <xf numFmtId="1" fontId="0" fillId="11" borderId="0" xfId="0" applyNumberFormat="1" applyFont="1" applyFill="1" applyBorder="1" applyProtection="1"/>
    <xf numFmtId="0" fontId="8" fillId="11" borderId="0" xfId="0" applyFont="1" applyFill="1" applyBorder="1" applyAlignment="1" applyProtection="1">
      <alignment horizontal="left"/>
    </xf>
    <xf numFmtId="0" fontId="8" fillId="14" borderId="0" xfId="0" applyFont="1" applyFill="1" applyAlignment="1" applyProtection="1">
      <alignment horizontal="right"/>
    </xf>
    <xf numFmtId="0" fontId="0" fillId="14" borderId="0" xfId="0" applyFont="1" applyFill="1" applyBorder="1" applyAlignment="1" applyProtection="1">
      <alignment horizontal="right"/>
    </xf>
    <xf numFmtId="164" fontId="0" fillId="14" borderId="0" xfId="0" applyNumberFormat="1" applyFont="1" applyFill="1" applyProtection="1"/>
    <xf numFmtId="0" fontId="9" fillId="14" borderId="0" xfId="0" applyFont="1" applyFill="1" applyProtection="1"/>
    <xf numFmtId="0" fontId="9" fillId="14" borderId="0" xfId="0" applyFont="1" applyFill="1" applyAlignment="1" applyProtection="1">
      <alignment horizontal="right"/>
    </xf>
    <xf numFmtId="0" fontId="0" fillId="14" borderId="0" xfId="0" applyFont="1" applyFill="1" applyAlignment="1" applyProtection="1">
      <alignment horizontal="left"/>
    </xf>
    <xf numFmtId="1" fontId="9" fillId="11" borderId="0" xfId="0" applyNumberFormat="1" applyFont="1" applyFill="1" applyProtection="1"/>
    <xf numFmtId="0" fontId="8" fillId="14" borderId="0" xfId="0" applyFont="1" applyFill="1" applyProtection="1"/>
    <xf numFmtId="0" fontId="9" fillId="11" borderId="0" xfId="0" applyFont="1" applyFill="1" applyAlignment="1" applyProtection="1">
      <alignment horizontal="right"/>
    </xf>
    <xf numFmtId="0" fontId="14" fillId="11" borderId="0" xfId="0" applyFont="1" applyFill="1" applyBorder="1" applyProtection="1"/>
    <xf numFmtId="0" fontId="0" fillId="11" borderId="0" xfId="0" applyFont="1" applyFill="1" applyBorder="1" applyProtection="1"/>
    <xf numFmtId="0" fontId="0" fillId="4" borderId="0" xfId="0" applyFill="1" applyProtection="1"/>
    <xf numFmtId="0" fontId="9" fillId="4" borderId="0" xfId="0" applyFont="1" applyFill="1" applyProtection="1"/>
    <xf numFmtId="0" fontId="9" fillId="12" borderId="1" xfId="0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10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0" fontId="9" fillId="11" borderId="0" xfId="0" applyNumberFormat="1" applyFont="1" applyFill="1" applyProtection="1"/>
    <xf numFmtId="164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/>
    <xf numFmtId="0" fontId="8" fillId="0" borderId="0" xfId="0" applyFont="1" applyFill="1" applyBorder="1" applyProtection="1"/>
    <xf numFmtId="0" fontId="7" fillId="11" borderId="0" xfId="0" applyFont="1" applyFill="1" applyProtection="1"/>
    <xf numFmtId="0" fontId="3" fillId="0" borderId="0" xfId="0" applyFont="1" applyBorder="1" applyAlignment="1">
      <alignment horizontal="right" vertical="center" wrapText="1"/>
    </xf>
    <xf numFmtId="166" fontId="0" fillId="0" borderId="0" xfId="0" applyNumberFormat="1"/>
    <xf numFmtId="0" fontId="0" fillId="16" borderId="0" xfId="0" applyFill="1"/>
    <xf numFmtId="1" fontId="0" fillId="3" borderId="0" xfId="0" applyNumberFormat="1" applyFill="1"/>
    <xf numFmtId="164" fontId="0" fillId="3" borderId="0" xfId="0" applyNumberFormat="1" applyFill="1"/>
    <xf numFmtId="164" fontId="0" fillId="3" borderId="0" xfId="0" applyNumberFormat="1" applyFont="1" applyFill="1"/>
    <xf numFmtId="164" fontId="7" fillId="3" borderId="0" xfId="0" applyNumberFormat="1" applyFont="1" applyFill="1"/>
    <xf numFmtId="0" fontId="0" fillId="3" borderId="0" xfId="0" applyFill="1" applyAlignment="1">
      <alignment horizontal="right"/>
    </xf>
    <xf numFmtId="0" fontId="0" fillId="17" borderId="0" xfId="0" applyFill="1"/>
    <xf numFmtId="0" fontId="0" fillId="17" borderId="0" xfId="0" applyFill="1" applyAlignment="1">
      <alignment horizontal="right"/>
    </xf>
    <xf numFmtId="164" fontId="0" fillId="17" borderId="0" xfId="0" applyNumberFormat="1" applyFill="1"/>
    <xf numFmtId="164" fontId="0" fillId="17" borderId="0" xfId="0" applyNumberFormat="1" applyFont="1" applyFill="1"/>
    <xf numFmtId="164" fontId="7" fillId="17" borderId="0" xfId="0" applyNumberFormat="1" applyFont="1" applyFill="1"/>
    <xf numFmtId="0" fontId="0" fillId="17" borderId="0" xfId="0" applyFill="1" applyBorder="1" applyAlignment="1">
      <alignment horizontal="right"/>
    </xf>
    <xf numFmtId="2" fontId="0" fillId="17" borderId="0" xfId="0" applyNumberFormat="1" applyFill="1"/>
    <xf numFmtId="0" fontId="0" fillId="11" borderId="1" xfId="0" applyFill="1" applyBorder="1" applyProtection="1">
      <protection locked="0"/>
    </xf>
    <xf numFmtId="0" fontId="0" fillId="11" borderId="19" xfId="0" applyFill="1" applyBorder="1" applyProtection="1"/>
    <xf numFmtId="0" fontId="0" fillId="11" borderId="33" xfId="0" applyFill="1" applyBorder="1" applyProtection="1"/>
    <xf numFmtId="0" fontId="0" fillId="11" borderId="34" xfId="0" applyFill="1" applyBorder="1" applyProtection="1"/>
    <xf numFmtId="0" fontId="7" fillId="11" borderId="19" xfId="0" applyFont="1" applyFill="1" applyBorder="1" applyProtection="1"/>
    <xf numFmtId="167" fontId="0" fillId="12" borderId="34" xfId="1" applyNumberFormat="1" applyFont="1" applyFill="1" applyBorder="1" applyProtection="1"/>
    <xf numFmtId="0" fontId="7" fillId="11" borderId="33" xfId="0" applyFont="1" applyFill="1" applyBorder="1" applyProtection="1"/>
    <xf numFmtId="0" fontId="7" fillId="11" borderId="34" xfId="0" applyFont="1" applyFill="1" applyBorder="1" applyProtection="1"/>
    <xf numFmtId="1" fontId="0" fillId="0" borderId="1" xfId="0" applyNumberFormat="1" applyBorder="1" applyAlignment="1">
      <alignment horizontal="right"/>
    </xf>
    <xf numFmtId="2" fontId="0" fillId="3" borderId="0" xfId="0" applyNumberFormat="1" applyFill="1"/>
    <xf numFmtId="0" fontId="0" fillId="4" borderId="1" xfId="0" applyNumberFormat="1" applyFill="1" applyBorder="1" applyProtection="1">
      <protection locked="0"/>
    </xf>
    <xf numFmtId="1" fontId="0" fillId="8" borderId="0" xfId="0" applyNumberFormat="1" applyFill="1"/>
    <xf numFmtId="2" fontId="0" fillId="7" borderId="1" xfId="0" applyNumberFormat="1" applyFill="1" applyBorder="1" applyProtection="1"/>
    <xf numFmtId="2" fontId="8" fillId="7" borderId="1" xfId="0" applyNumberFormat="1" applyFont="1" applyFill="1" applyBorder="1" applyProtection="1"/>
    <xf numFmtId="164" fontId="0" fillId="0" borderId="1" xfId="0" applyNumberFormat="1" applyFont="1" applyFill="1" applyBorder="1" applyAlignment="1" applyProtection="1">
      <alignment horizontal="right"/>
    </xf>
    <xf numFmtId="0" fontId="7" fillId="11" borderId="19" xfId="0" applyFont="1" applyFill="1" applyBorder="1" applyProtection="1"/>
    <xf numFmtId="0" fontId="7" fillId="11" borderId="1" xfId="0" applyFont="1" applyFill="1" applyBorder="1" applyProtection="1"/>
    <xf numFmtId="0" fontId="0" fillId="18" borderId="1" xfId="0" applyFill="1" applyBorder="1"/>
    <xf numFmtId="164" fontId="0" fillId="18" borderId="1" xfId="0" applyNumberFormat="1" applyFill="1" applyBorder="1"/>
    <xf numFmtId="164" fontId="0" fillId="18" borderId="19" xfId="0" applyNumberFormat="1" applyFill="1" applyBorder="1"/>
    <xf numFmtId="1" fontId="0" fillId="4" borderId="1" xfId="0" applyNumberFormat="1" applyFill="1" applyBorder="1" applyProtection="1"/>
    <xf numFmtId="1" fontId="7" fillId="4" borderId="1" xfId="0" applyNumberFormat="1" applyFont="1" applyFill="1" applyBorder="1" applyProtection="1"/>
    <xf numFmtId="14" fontId="0" fillId="12" borderId="1" xfId="0" applyNumberFormat="1" applyFill="1" applyBorder="1" applyAlignment="1" applyProtection="1">
      <alignment horizontal="center"/>
    </xf>
    <xf numFmtId="167" fontId="0" fillId="12" borderId="1" xfId="1" applyNumberFormat="1" applyFont="1" applyFill="1" applyBorder="1" applyAlignment="1" applyProtection="1">
      <alignment vertical="center"/>
    </xf>
    <xf numFmtId="0" fontId="3" fillId="0" borderId="3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10" fontId="18" fillId="0" borderId="36" xfId="0" applyNumberFormat="1" applyFont="1" applyBorder="1" applyAlignment="1">
      <alignment horizontal="right" vertical="center" wrapText="1"/>
    </xf>
    <xf numFmtId="10" fontId="17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4" fontId="2" fillId="4" borderId="0" xfId="0" applyNumberFormat="1" applyFont="1" applyFill="1"/>
    <xf numFmtId="1" fontId="2" fillId="4" borderId="0" xfId="0" applyNumberFormat="1" applyFont="1" applyFill="1"/>
    <xf numFmtId="0" fontId="2" fillId="4" borderId="0" xfId="0" applyFont="1" applyFill="1" applyBorder="1" applyAlignment="1">
      <alignment horizontal="center"/>
    </xf>
    <xf numFmtId="16" fontId="2" fillId="4" borderId="0" xfId="0" applyNumberFormat="1" applyFont="1" applyFill="1"/>
    <xf numFmtId="0" fontId="2" fillId="4" borderId="0" xfId="0" applyFont="1" applyFill="1" applyAlignment="1">
      <alignment horizontal="left"/>
    </xf>
    <xf numFmtId="0" fontId="2" fillId="4" borderId="0" xfId="0" applyFont="1" applyFill="1"/>
    <xf numFmtId="167" fontId="2" fillId="0" borderId="0" xfId="1" applyNumberFormat="1" applyFont="1"/>
    <xf numFmtId="1" fontId="8" fillId="12" borderId="1" xfId="0" applyNumberFormat="1" applyFont="1" applyFill="1" applyBorder="1" applyAlignment="1" applyProtection="1">
      <alignment horizontal="center"/>
    </xf>
    <xf numFmtId="0" fontId="8" fillId="12" borderId="1" xfId="0" applyFont="1" applyFill="1" applyBorder="1" applyAlignment="1" applyProtection="1">
      <alignment horizontal="center"/>
    </xf>
    <xf numFmtId="14" fontId="0" fillId="12" borderId="34" xfId="0" applyNumberFormat="1" applyFill="1" applyBorder="1" applyAlignment="1" applyProtection="1">
      <alignment horizontal="center"/>
    </xf>
    <xf numFmtId="0" fontId="0" fillId="11" borderId="37" xfId="0" applyFill="1" applyBorder="1" applyProtection="1"/>
    <xf numFmtId="1" fontId="0" fillId="7" borderId="37" xfId="0" applyNumberFormat="1" applyFill="1" applyBorder="1" applyProtection="1"/>
    <xf numFmtId="1" fontId="6" fillId="7" borderId="37" xfId="0" applyNumberFormat="1" applyFont="1" applyFill="1" applyBorder="1" applyProtection="1"/>
    <xf numFmtId="0" fontId="7" fillId="12" borderId="37" xfId="0" applyFont="1" applyFill="1" applyBorder="1" applyProtection="1"/>
    <xf numFmtId="0" fontId="7" fillId="11" borderId="38" xfId="0" applyFont="1" applyFill="1" applyBorder="1" applyProtection="1"/>
    <xf numFmtId="1" fontId="7" fillId="12" borderId="23" xfId="0" applyNumberFormat="1" applyFont="1" applyFill="1" applyBorder="1" applyProtection="1"/>
    <xf numFmtId="1" fontId="9" fillId="12" borderId="23" xfId="0" applyNumberFormat="1" applyFont="1" applyFill="1" applyBorder="1" applyProtection="1"/>
    <xf numFmtId="0" fontId="7" fillId="12" borderId="24" xfId="0" applyFont="1" applyFill="1" applyBorder="1" applyProtection="1"/>
    <xf numFmtId="0" fontId="0" fillId="11" borderId="20" xfId="0" applyFill="1" applyBorder="1" applyProtection="1"/>
    <xf numFmtId="1" fontId="0" fillId="7" borderId="20" xfId="0" applyNumberFormat="1" applyFill="1" applyBorder="1" applyProtection="1"/>
    <xf numFmtId="0" fontId="7" fillId="12" borderId="20" xfId="0" applyFont="1" applyFill="1" applyBorder="1" applyProtection="1"/>
    <xf numFmtId="0" fontId="0" fillId="11" borderId="38" xfId="0" applyFill="1" applyBorder="1" applyProtection="1"/>
    <xf numFmtId="1" fontId="0" fillId="11" borderId="23" xfId="0" applyNumberFormat="1" applyFill="1" applyBorder="1" applyProtection="1"/>
    <xf numFmtId="1" fontId="0" fillId="11" borderId="23" xfId="0" applyNumberFormat="1" applyFill="1" applyBorder="1" applyAlignment="1" applyProtection="1">
      <alignment horizontal="right"/>
    </xf>
    <xf numFmtId="0" fontId="0" fillId="12" borderId="24" xfId="0" applyFill="1" applyBorder="1" applyAlignment="1" applyProtection="1">
      <alignment horizontal="right"/>
    </xf>
    <xf numFmtId="0" fontId="0" fillId="7" borderId="20" xfId="0" applyFill="1" applyBorder="1" applyProtection="1"/>
    <xf numFmtId="1" fontId="7" fillId="12" borderId="20" xfId="0" applyNumberFormat="1" applyFont="1" applyFill="1" applyBorder="1" applyProtection="1"/>
    <xf numFmtId="0" fontId="0" fillId="11" borderId="23" xfId="0" applyFill="1" applyBorder="1" applyAlignment="1" applyProtection="1">
      <alignment horizontal="right"/>
    </xf>
    <xf numFmtId="164" fontId="7" fillId="11" borderId="38" xfId="0" applyNumberFormat="1" applyFont="1" applyFill="1" applyBorder="1" applyProtection="1"/>
    <xf numFmtId="0" fontId="7" fillId="12" borderId="23" xfId="0" applyFont="1" applyFill="1" applyBorder="1" applyProtection="1"/>
    <xf numFmtId="9" fontId="7" fillId="12" borderId="23" xfId="0" applyNumberFormat="1" applyFont="1" applyFill="1" applyBorder="1" applyProtection="1"/>
    <xf numFmtId="9" fontId="7" fillId="12" borderId="24" xfId="0" applyNumberFormat="1" applyFont="1" applyFill="1" applyBorder="1" applyProtection="1"/>
    <xf numFmtId="0" fontId="2" fillId="12" borderId="23" xfId="0" applyFont="1" applyFill="1" applyBorder="1" applyProtection="1"/>
    <xf numFmtId="164" fontId="6" fillId="14" borderId="28" xfId="0" applyNumberFormat="1" applyFont="1" applyFill="1" applyBorder="1" applyAlignment="1" applyProtection="1">
      <alignment horizontal="left"/>
    </xf>
    <xf numFmtId="164" fontId="0" fillId="7" borderId="20" xfId="0" applyNumberFormat="1" applyFill="1" applyBorder="1" applyProtection="1"/>
    <xf numFmtId="164" fontId="0" fillId="12" borderId="20" xfId="0" applyNumberFormat="1" applyFill="1" applyBorder="1" applyProtection="1"/>
    <xf numFmtId="0" fontId="0" fillId="12" borderId="24" xfId="0" applyFill="1" applyBorder="1" applyProtection="1"/>
    <xf numFmtId="2" fontId="0" fillId="7" borderId="20" xfId="0" applyNumberFormat="1" applyFill="1" applyBorder="1" applyProtection="1"/>
    <xf numFmtId="1" fontId="0" fillId="12" borderId="20" xfId="0" applyNumberFormat="1" applyFill="1" applyBorder="1" applyProtection="1"/>
    <xf numFmtId="0" fontId="0" fillId="12" borderId="23" xfId="0" applyFill="1" applyBorder="1" applyProtection="1"/>
    <xf numFmtId="164" fontId="7" fillId="12" borderId="23" xfId="0" applyNumberFormat="1" applyFont="1" applyFill="1" applyBorder="1" applyProtection="1"/>
    <xf numFmtId="164" fontId="7" fillId="12" borderId="24" xfId="0" applyNumberFormat="1" applyFont="1" applyFill="1" applyBorder="1" applyProtection="1"/>
    <xf numFmtId="0" fontId="4" fillId="5" borderId="0" xfId="0" applyFont="1" applyFill="1" applyAlignment="1">
      <alignment horizontal="center" vertical="center" wrapText="1"/>
    </xf>
    <xf numFmtId="0" fontId="8" fillId="11" borderId="19" xfId="0" applyFont="1" applyFill="1" applyBorder="1" applyProtection="1"/>
    <xf numFmtId="0" fontId="8" fillId="11" borderId="33" xfId="0" applyFont="1" applyFill="1" applyBorder="1" applyProtection="1"/>
    <xf numFmtId="0" fontId="8" fillId="11" borderId="34" xfId="0" applyFont="1" applyFill="1" applyBorder="1" applyProtection="1"/>
    <xf numFmtId="8" fontId="0" fillId="4" borderId="1" xfId="0" applyNumberFormat="1" applyFont="1" applyFill="1" applyBorder="1" applyProtection="1">
      <protection locked="0"/>
    </xf>
    <xf numFmtId="164" fontId="0" fillId="12" borderId="0" xfId="0" applyNumberFormat="1" applyFill="1" applyProtection="1"/>
    <xf numFmtId="164" fontId="7" fillId="11" borderId="25" xfId="0" applyNumberFormat="1" applyFont="1" applyFill="1" applyBorder="1" applyProtection="1"/>
    <xf numFmtId="164" fontId="0" fillId="9" borderId="0" xfId="0" applyNumberFormat="1" applyFont="1" applyFill="1" applyProtection="1"/>
    <xf numFmtId="0" fontId="0" fillId="9" borderId="0" xfId="0" applyFont="1" applyFill="1" applyProtection="1"/>
    <xf numFmtId="0" fontId="7" fillId="11" borderId="23" xfId="0" applyFont="1" applyFill="1" applyBorder="1" applyAlignment="1" applyProtection="1">
      <alignment horizontal="right"/>
    </xf>
    <xf numFmtId="0" fontId="7" fillId="12" borderId="24" xfId="0" applyFont="1" applyFill="1" applyBorder="1" applyAlignment="1" applyProtection="1">
      <alignment horizontal="right"/>
    </xf>
    <xf numFmtId="1" fontId="0" fillId="3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0" fontId="18" fillId="0" borderId="0" xfId="0" applyNumberFormat="1" applyFont="1" applyAlignment="1">
      <alignment horizontal="right" vertical="center" wrapText="1"/>
    </xf>
    <xf numFmtId="0" fontId="4" fillId="5" borderId="0" xfId="0" applyFont="1" applyFill="1" applyAlignment="1">
      <alignment horizontal="center" vertical="center" wrapText="1"/>
    </xf>
    <xf numFmtId="0" fontId="21" fillId="0" borderId="0" xfId="2"/>
    <xf numFmtId="0" fontId="2" fillId="12" borderId="40" xfId="0" applyFont="1" applyFill="1" applyBorder="1" applyProtection="1"/>
    <xf numFmtId="0" fontId="0" fillId="14" borderId="14" xfId="0" applyFill="1" applyBorder="1" applyProtection="1"/>
    <xf numFmtId="0" fontId="0" fillId="14" borderId="15" xfId="0" applyFill="1" applyBorder="1" applyProtection="1"/>
    <xf numFmtId="0" fontId="7" fillId="11" borderId="39" xfId="0" applyFont="1" applyFill="1" applyBorder="1" applyProtection="1"/>
    <xf numFmtId="0" fontId="0" fillId="14" borderId="9" xfId="0" applyFill="1" applyBorder="1" applyProtection="1"/>
    <xf numFmtId="1" fontId="7" fillId="12" borderId="38" xfId="0" applyNumberFormat="1" applyFont="1" applyFill="1" applyBorder="1" applyAlignment="1" applyProtection="1">
      <alignment horizontal="center"/>
    </xf>
    <xf numFmtId="1" fontId="7" fillId="12" borderId="24" xfId="0" applyNumberFormat="1" applyFont="1" applyFill="1" applyBorder="1" applyAlignment="1" applyProtection="1">
      <alignment horizontal="center"/>
    </xf>
    <xf numFmtId="1" fontId="7" fillId="12" borderId="39" xfId="0" applyNumberFormat="1" applyFont="1" applyFill="1" applyBorder="1" applyAlignment="1" applyProtection="1">
      <alignment horizontal="center"/>
    </xf>
    <xf numFmtId="0" fontId="0" fillId="14" borderId="14" xfId="0" applyFill="1" applyBorder="1" applyAlignment="1" applyProtection="1">
      <alignment horizontal="center"/>
    </xf>
    <xf numFmtId="0" fontId="0" fillId="14" borderId="15" xfId="0" applyFill="1" applyBorder="1" applyAlignment="1" applyProtection="1">
      <alignment horizontal="center"/>
    </xf>
    <xf numFmtId="0" fontId="0" fillId="14" borderId="9" xfId="0" applyFill="1" applyBorder="1" applyAlignment="1" applyProtection="1">
      <alignment horizontal="center"/>
    </xf>
    <xf numFmtId="164" fontId="7" fillId="12" borderId="38" xfId="0" applyNumberFormat="1" applyFont="1" applyFill="1" applyBorder="1" applyAlignment="1" applyProtection="1">
      <alignment horizontal="center"/>
    </xf>
    <xf numFmtId="164" fontId="7" fillId="12" borderId="24" xfId="0" applyNumberFormat="1" applyFont="1" applyFill="1" applyBorder="1" applyAlignment="1" applyProtection="1">
      <alignment horizontal="center"/>
    </xf>
    <xf numFmtId="164" fontId="7" fillId="12" borderId="39" xfId="0" applyNumberFormat="1" applyFont="1" applyFill="1" applyBorder="1" applyAlignment="1" applyProtection="1">
      <alignment horizontal="center"/>
    </xf>
    <xf numFmtId="9" fontId="7" fillId="12" borderId="38" xfId="0" applyNumberFormat="1" applyFont="1" applyFill="1" applyBorder="1" applyAlignment="1" applyProtection="1">
      <alignment horizontal="center"/>
    </xf>
    <xf numFmtId="9" fontId="7" fillId="12" borderId="24" xfId="0" applyNumberFormat="1" applyFont="1" applyFill="1" applyBorder="1" applyAlignment="1" applyProtection="1">
      <alignment horizontal="center"/>
    </xf>
    <xf numFmtId="9" fontId="7" fillId="12" borderId="39" xfId="0" applyNumberFormat="1" applyFont="1" applyFill="1" applyBorder="1" applyAlignment="1" applyProtection="1">
      <alignment horizontal="center"/>
    </xf>
    <xf numFmtId="164" fontId="9" fillId="12" borderId="40" xfId="0" applyNumberFormat="1" applyFont="1" applyFill="1" applyBorder="1" applyAlignment="1" applyProtection="1">
      <alignment horizontal="center"/>
    </xf>
    <xf numFmtId="0" fontId="7" fillId="11" borderId="40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 vertical="center" wrapText="1"/>
    </xf>
    <xf numFmtId="10" fontId="18" fillId="0" borderId="2" xfId="0" applyNumberFormat="1" applyFont="1" applyBorder="1" applyAlignment="1">
      <alignment horizontal="right" vertical="center" wrapText="1"/>
    </xf>
    <xf numFmtId="1" fontId="0" fillId="13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3" borderId="1" xfId="0" applyFill="1" applyBorder="1"/>
    <xf numFmtId="167" fontId="3" fillId="0" borderId="2" xfId="1" applyNumberFormat="1" applyFont="1" applyBorder="1" applyAlignment="1">
      <alignment horizontal="right" vertical="center" wrapText="1"/>
    </xf>
    <xf numFmtId="167" fontId="3" fillId="6" borderId="2" xfId="1" applyNumberFormat="1" applyFont="1" applyFill="1" applyBorder="1" applyAlignment="1">
      <alignment horizontal="right" vertical="center" wrapText="1"/>
    </xf>
    <xf numFmtId="167" fontId="0" fillId="2" borderId="0" xfId="1" applyNumberFormat="1" applyFont="1" applyFill="1" applyAlignment="1">
      <alignment horizontal="center"/>
    </xf>
    <xf numFmtId="10" fontId="3" fillId="0" borderId="0" xfId="0" applyNumberFormat="1" applyFont="1" applyAlignment="1">
      <alignment horizontal="right" vertical="center" wrapText="1"/>
    </xf>
    <xf numFmtId="0" fontId="0" fillId="4" borderId="27" xfId="0" applyFill="1" applyBorder="1" applyAlignment="1" applyProtection="1">
      <alignment horizontal="center"/>
    </xf>
    <xf numFmtId="0" fontId="0" fillId="4" borderId="28" xfId="0" applyFill="1" applyBorder="1" applyAlignment="1" applyProtection="1">
      <alignment horizontal="center"/>
    </xf>
    <xf numFmtId="0" fontId="0" fillId="4" borderId="29" xfId="0" applyFill="1" applyBorder="1" applyAlignment="1" applyProtection="1">
      <alignment horizontal="center"/>
    </xf>
    <xf numFmtId="0" fontId="7" fillId="11" borderId="1" xfId="0" applyFont="1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0" fillId="4" borderId="31" xfId="0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0" fontId="0" fillId="11" borderId="19" xfId="0" applyFill="1" applyBorder="1" applyAlignment="1" applyProtection="1">
      <alignment horizontal="right"/>
    </xf>
    <xf numFmtId="0" fontId="0" fillId="11" borderId="33" xfId="0" applyFill="1" applyBorder="1" applyAlignment="1" applyProtection="1">
      <alignment horizontal="right"/>
    </xf>
    <xf numFmtId="0" fontId="7" fillId="11" borderId="25" xfId="0" applyFont="1" applyFill="1" applyBorder="1" applyAlignment="1" applyProtection="1">
      <alignment horizontal="center"/>
    </xf>
    <xf numFmtId="0" fontId="7" fillId="11" borderId="41" xfId="0" applyFont="1" applyFill="1" applyBorder="1" applyAlignment="1" applyProtection="1">
      <alignment horizontal="center"/>
    </xf>
    <xf numFmtId="0" fontId="4" fillId="5" borderId="0" xfId="0" applyFont="1" applyFill="1" applyAlignment="1">
      <alignment horizontal="center" vertical="center" wrapText="1"/>
    </xf>
    <xf numFmtId="0" fontId="21" fillId="9" borderId="0" xfId="2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8" fillId="11" borderId="19" xfId="0" applyFont="1" applyFill="1" applyBorder="1" applyProtection="1"/>
    <xf numFmtId="0" fontId="8" fillId="11" borderId="33" xfId="0" applyFont="1" applyFill="1" applyBorder="1" applyProtection="1"/>
    <xf numFmtId="0" fontId="8" fillId="11" borderId="34" xfId="0" applyFont="1" applyFill="1" applyBorder="1" applyProtection="1"/>
    <xf numFmtId="0" fontId="0" fillId="11" borderId="19" xfId="0" applyFont="1" applyFill="1" applyBorder="1" applyProtection="1"/>
    <xf numFmtId="0" fontId="0" fillId="11" borderId="33" xfId="0" applyFont="1" applyFill="1" applyBorder="1" applyProtection="1"/>
    <xf numFmtId="0" fontId="0" fillId="11" borderId="34" xfId="0" applyFont="1" applyFill="1" applyBorder="1" applyProtection="1"/>
    <xf numFmtId="0" fontId="9" fillId="11" borderId="25" xfId="0" applyFont="1" applyFill="1" applyBorder="1" applyProtection="1"/>
    <xf numFmtId="0" fontId="9" fillId="11" borderId="26" xfId="0" applyFont="1" applyFill="1" applyBorder="1" applyProtection="1"/>
    <xf numFmtId="0" fontId="9" fillId="11" borderId="35" xfId="0" applyFont="1" applyFill="1" applyBorder="1" applyProtection="1"/>
    <xf numFmtId="0" fontId="0" fillId="11" borderId="34" xfId="0" applyFill="1" applyBorder="1" applyAlignment="1" applyProtection="1">
      <alignment horizontal="right"/>
    </xf>
    <xf numFmtId="0" fontId="7" fillId="11" borderId="19" xfId="0" applyFont="1" applyFill="1" applyBorder="1" applyAlignment="1" applyProtection="1">
      <alignment horizontal="center"/>
    </xf>
    <xf numFmtId="0" fontId="7" fillId="11" borderId="33" xfId="0" applyFont="1" applyFill="1" applyBorder="1" applyAlignment="1" applyProtection="1">
      <alignment horizontal="center"/>
    </xf>
    <xf numFmtId="0" fontId="7" fillId="11" borderId="34" xfId="0" applyFont="1" applyFill="1" applyBorder="1" applyAlignment="1" applyProtection="1">
      <alignment horizontal="center"/>
    </xf>
    <xf numFmtId="0" fontId="6" fillId="14" borderId="28" xfId="0" applyFont="1" applyFill="1" applyBorder="1" applyAlignment="1" applyProtection="1">
      <alignment horizontal="center"/>
    </xf>
    <xf numFmtId="9" fontId="0" fillId="0" borderId="0" xfId="3" applyFont="1"/>
    <xf numFmtId="0" fontId="0" fillId="0" borderId="0" xfId="0" applyFill="1" applyBorder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15</xdr:row>
      <xdr:rowOff>0</xdr:rowOff>
    </xdr:from>
    <xdr:to>
      <xdr:col>25</xdr:col>
      <xdr:colOff>275591</xdr:colOff>
      <xdr:row>34</xdr:row>
      <xdr:rowOff>39212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68300" y="2352675"/>
          <a:ext cx="5076191" cy="3466667"/>
        </a:xfrm>
        <a:prstGeom prst="rect">
          <a:avLst/>
        </a:prstGeom>
      </xdr:spPr>
    </xdr:pic>
    <xdr:clientData/>
  </xdr:twoCellAnchor>
  <xdr:twoCellAnchor editAs="oneCell">
    <xdr:from>
      <xdr:col>15</xdr:col>
      <xdr:colOff>213360</xdr:colOff>
      <xdr:row>22</xdr:row>
      <xdr:rowOff>144780</xdr:rowOff>
    </xdr:from>
    <xdr:to>
      <xdr:col>21</xdr:col>
      <xdr:colOff>472811</xdr:colOff>
      <xdr:row>31</xdr:row>
      <xdr:rowOff>104548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00" y="4145280"/>
          <a:ext cx="4282811" cy="1531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12</xdr:row>
      <xdr:rowOff>0</xdr:rowOff>
    </xdr:from>
    <xdr:to>
      <xdr:col>28</xdr:col>
      <xdr:colOff>332510</xdr:colOff>
      <xdr:row>37</xdr:row>
      <xdr:rowOff>56573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87575" y="2190750"/>
          <a:ext cx="6923810" cy="4619048"/>
        </a:xfrm>
        <a:prstGeom prst="rect">
          <a:avLst/>
        </a:prstGeom>
      </xdr:spPr>
    </xdr:pic>
    <xdr:clientData/>
  </xdr:twoCellAnchor>
  <xdr:twoCellAnchor editAs="oneCell">
    <xdr:from>
      <xdr:col>9</xdr:col>
      <xdr:colOff>676275</xdr:colOff>
      <xdr:row>44</xdr:row>
      <xdr:rowOff>171450</xdr:rowOff>
    </xdr:from>
    <xdr:to>
      <xdr:col>25</xdr:col>
      <xdr:colOff>474803</xdr:colOff>
      <xdr:row>84</xdr:row>
      <xdr:rowOff>113402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15325" y="7839075"/>
          <a:ext cx="11580953" cy="7190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eefandlamb.ahdb.org.uk/markets/deadweight-price-reports/deadweight-sheep-price-reportin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eefandlamb.ahdb.org.uk/markets/deadweight-price-reports/deadweight-cattle-prices/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I83"/>
  <sheetViews>
    <sheetView topLeftCell="A13" zoomScale="79" zoomScaleNormal="79" workbookViewId="0">
      <selection activeCell="C12" sqref="C12"/>
    </sheetView>
  </sheetViews>
  <sheetFormatPr defaultColWidth="9" defaultRowHeight="13.8" x14ac:dyDescent="0.25"/>
  <cols>
    <col min="1" max="1" width="5.5" style="64" customWidth="1"/>
    <col min="2" max="2" width="21.69921875" style="64" customWidth="1"/>
    <col min="3" max="3" width="12.5" style="64" customWidth="1"/>
    <col min="4" max="4" width="13.69921875" style="64" customWidth="1"/>
    <col min="5" max="5" width="14.8984375" style="64" customWidth="1"/>
    <col min="6" max="6" width="12.3984375" style="64" customWidth="1"/>
    <col min="7" max="7" width="6.09765625" style="64" customWidth="1"/>
    <col min="8" max="16384" width="9" style="64"/>
  </cols>
  <sheetData>
    <row r="1" spans="1:7" ht="14.25" x14ac:dyDescent="0.2">
      <c r="A1" s="95"/>
      <c r="B1" s="209" t="s">
        <v>151</v>
      </c>
      <c r="C1" s="207"/>
      <c r="D1" s="207"/>
      <c r="E1" s="207"/>
      <c r="F1" s="208"/>
      <c r="G1" s="95"/>
    </row>
    <row r="2" spans="1:7" ht="14.25" x14ac:dyDescent="0.2">
      <c r="A2" s="95"/>
      <c r="B2" s="95"/>
      <c r="C2" s="95"/>
      <c r="D2" s="95"/>
      <c r="E2" s="95"/>
      <c r="F2" s="95"/>
      <c r="G2" s="95"/>
    </row>
    <row r="3" spans="1:7" ht="14.25" x14ac:dyDescent="0.2">
      <c r="A3" s="95"/>
      <c r="B3" s="330" t="s">
        <v>149</v>
      </c>
      <c r="C3" s="331"/>
      <c r="D3" s="243">
        <f>'Lamb Data'!B1</f>
        <v>42889</v>
      </c>
      <c r="E3" s="206" t="s">
        <v>150</v>
      </c>
      <c r="F3" s="210">
        <f>'Lamb Data'!B2</f>
        <v>29870</v>
      </c>
      <c r="G3" s="95"/>
    </row>
    <row r="4" spans="1:7" ht="14.25" x14ac:dyDescent="0.2">
      <c r="A4" s="95"/>
      <c r="B4" s="95"/>
      <c r="C4" s="103" t="s">
        <v>189</v>
      </c>
      <c r="D4" s="242">
        <f>'Lamb Data'!E1</f>
        <v>22</v>
      </c>
      <c r="E4" s="95"/>
      <c r="F4" s="95"/>
      <c r="G4" s="95"/>
    </row>
    <row r="5" spans="1:7" ht="14.25" x14ac:dyDescent="0.2">
      <c r="A5" s="95"/>
      <c r="B5" s="95"/>
      <c r="C5" s="95"/>
      <c r="D5" s="95"/>
      <c r="E5" s="95"/>
      <c r="F5" s="95"/>
      <c r="G5" s="95"/>
    </row>
    <row r="6" spans="1:7" ht="14.25" x14ac:dyDescent="0.2">
      <c r="A6" s="95"/>
      <c r="B6" s="323" t="s">
        <v>44</v>
      </c>
      <c r="C6" s="324"/>
      <c r="D6" s="325"/>
      <c r="E6" s="95"/>
      <c r="F6" s="95"/>
      <c r="G6" s="95"/>
    </row>
    <row r="7" spans="1:7" ht="14.25" x14ac:dyDescent="0.2">
      <c r="A7" s="95"/>
      <c r="B7" s="327" t="s">
        <v>100</v>
      </c>
      <c r="C7" s="328"/>
      <c r="D7" s="329"/>
      <c r="E7" s="95"/>
      <c r="F7" s="95"/>
      <c r="G7" s="95"/>
    </row>
    <row r="8" spans="1:7" ht="14.25" x14ac:dyDescent="0.2">
      <c r="A8" s="95"/>
      <c r="B8" s="95"/>
      <c r="C8" s="95"/>
      <c r="D8" s="95"/>
      <c r="E8" s="95"/>
      <c r="F8" s="95"/>
      <c r="G8" s="95"/>
    </row>
    <row r="9" spans="1:7" ht="14.25" x14ac:dyDescent="0.2">
      <c r="A9" s="95"/>
      <c r="B9" s="92" t="s">
        <v>16</v>
      </c>
      <c r="C9" s="65">
        <v>19</v>
      </c>
      <c r="D9" s="95"/>
      <c r="E9" s="95"/>
      <c r="F9" s="95"/>
      <c r="G9" s="95"/>
    </row>
    <row r="10" spans="1:7" ht="14.25" x14ac:dyDescent="0.2">
      <c r="A10" s="95"/>
      <c r="B10" s="92" t="s">
        <v>208</v>
      </c>
      <c r="C10" s="65"/>
      <c r="D10" s="95"/>
      <c r="E10" s="95"/>
      <c r="F10" s="95"/>
      <c r="G10" s="95"/>
    </row>
    <row r="11" spans="1:7" ht="14.25" x14ac:dyDescent="0.2">
      <c r="A11" s="95"/>
      <c r="B11" s="93" t="s">
        <v>17</v>
      </c>
      <c r="C11" s="105" t="s">
        <v>11</v>
      </c>
      <c r="D11" s="105" t="s">
        <v>6</v>
      </c>
      <c r="E11" s="95"/>
      <c r="F11" s="95"/>
      <c r="G11" s="95"/>
    </row>
    <row r="12" spans="1:7" ht="14.25" x14ac:dyDescent="0.2">
      <c r="A12" s="95"/>
      <c r="B12" s="93" t="s">
        <v>45</v>
      </c>
      <c r="C12" s="85" t="s">
        <v>10</v>
      </c>
      <c r="D12" s="85" t="s">
        <v>5</v>
      </c>
      <c r="E12" s="95"/>
      <c r="F12" s="95"/>
      <c r="G12" s="95"/>
    </row>
    <row r="13" spans="1:7" ht="14.25" x14ac:dyDescent="0.2">
      <c r="A13" s="95"/>
      <c r="B13" s="95"/>
      <c r="C13" s="95"/>
      <c r="D13" s="95"/>
      <c r="E13" s="95"/>
      <c r="F13" s="95"/>
      <c r="G13" s="95"/>
    </row>
    <row r="14" spans="1:7" ht="14.25" x14ac:dyDescent="0.2">
      <c r="A14" s="95"/>
      <c r="B14" s="326" t="s">
        <v>177</v>
      </c>
      <c r="C14" s="326"/>
      <c r="D14" s="326"/>
      <c r="E14" s="95"/>
      <c r="F14" s="95"/>
      <c r="G14" s="95"/>
    </row>
    <row r="15" spans="1:7" ht="14.25" x14ac:dyDescent="0.2">
      <c r="A15" s="95"/>
      <c r="B15" s="92" t="s">
        <v>101</v>
      </c>
      <c r="C15" s="215"/>
      <c r="D15" s="102" t="s">
        <v>178</v>
      </c>
      <c r="E15" s="95"/>
      <c r="F15" s="95"/>
      <c r="G15" s="95"/>
    </row>
    <row r="16" spans="1:7" ht="14.25" x14ac:dyDescent="0.2">
      <c r="A16" s="95"/>
      <c r="B16" s="92" t="s">
        <v>66</v>
      </c>
      <c r="C16" s="215"/>
      <c r="D16" s="102" t="s">
        <v>178</v>
      </c>
      <c r="E16" s="95"/>
      <c r="F16" s="95"/>
      <c r="G16" s="95"/>
    </row>
    <row r="17" spans="1:9" ht="14.25" x14ac:dyDescent="0.2">
      <c r="A17" s="95"/>
      <c r="B17" s="92" t="s">
        <v>64</v>
      </c>
      <c r="C17" s="215"/>
      <c r="D17" s="102" t="s">
        <v>178</v>
      </c>
      <c r="E17" s="95"/>
      <c r="F17" s="95"/>
      <c r="G17" s="95"/>
    </row>
    <row r="18" spans="1:9" ht="14.25" x14ac:dyDescent="0.2">
      <c r="A18" s="95"/>
      <c r="B18" s="92" t="s">
        <v>82</v>
      </c>
      <c r="C18" s="215"/>
      <c r="D18" s="102" t="s">
        <v>178</v>
      </c>
      <c r="E18" s="95"/>
      <c r="F18" s="95"/>
      <c r="G18" s="97"/>
    </row>
    <row r="19" spans="1:9" ht="14.25" x14ac:dyDescent="0.2">
      <c r="A19" s="95"/>
      <c r="B19" s="92" t="s">
        <v>48</v>
      </c>
      <c r="C19" s="215"/>
      <c r="D19" s="102" t="s">
        <v>178</v>
      </c>
      <c r="E19" s="95"/>
      <c r="F19" s="95"/>
      <c r="G19" s="95"/>
    </row>
    <row r="20" spans="1:9" ht="14.25" x14ac:dyDescent="0.2">
      <c r="A20" s="95"/>
      <c r="B20" s="92" t="s">
        <v>170</v>
      </c>
      <c r="C20" s="215"/>
      <c r="D20" s="102" t="s">
        <v>178</v>
      </c>
      <c r="E20" s="95"/>
      <c r="F20" s="95"/>
      <c r="G20" s="95"/>
    </row>
    <row r="21" spans="1:9" ht="14.25" x14ac:dyDescent="0.2">
      <c r="A21" s="95"/>
      <c r="B21" s="92" t="s">
        <v>50</v>
      </c>
      <c r="C21" s="215"/>
      <c r="D21" s="102" t="s">
        <v>178</v>
      </c>
      <c r="E21" s="95"/>
      <c r="F21" s="95"/>
      <c r="G21" s="95"/>
    </row>
    <row r="22" spans="1:9" ht="14.25" x14ac:dyDescent="0.2">
      <c r="A22" s="95"/>
      <c r="B22" s="205" t="s">
        <v>171</v>
      </c>
      <c r="C22" s="215"/>
      <c r="D22" s="102" t="s">
        <v>178</v>
      </c>
      <c r="E22" s="95"/>
      <c r="F22" s="95"/>
      <c r="G22" s="95"/>
    </row>
    <row r="23" spans="1:9" ht="15" thickBot="1" x14ac:dyDescent="0.25">
      <c r="A23" s="95"/>
      <c r="B23" s="95"/>
      <c r="C23" s="95"/>
      <c r="D23" s="95"/>
      <c r="E23" s="95"/>
      <c r="F23" s="95"/>
      <c r="G23" s="95"/>
    </row>
    <row r="24" spans="1:9" ht="15" thickBot="1" x14ac:dyDescent="0.25">
      <c r="A24" s="95"/>
      <c r="B24" s="255" t="s">
        <v>18</v>
      </c>
      <c r="C24" s="285" t="s">
        <v>15</v>
      </c>
      <c r="D24" s="285" t="s">
        <v>19</v>
      </c>
      <c r="E24" s="285" t="s">
        <v>79</v>
      </c>
      <c r="F24" s="286" t="s">
        <v>43</v>
      </c>
      <c r="G24" s="95"/>
    </row>
    <row r="25" spans="1:9" ht="14.25" x14ac:dyDescent="0.2">
      <c r="A25" s="95"/>
      <c r="B25" s="252" t="s">
        <v>209</v>
      </c>
      <c r="C25" s="259">
        <f>'Lamb Data'!B9</f>
        <v>405</v>
      </c>
      <c r="D25" s="253">
        <f>'Lamb Data'!C9</f>
        <v>512.79999999999995</v>
      </c>
      <c r="E25" s="253">
        <f>'Lamb Data'!D9</f>
        <v>511</v>
      </c>
      <c r="F25" s="260">
        <f>'Lamb Data'!E9</f>
        <v>0</v>
      </c>
      <c r="G25" s="95"/>
    </row>
    <row r="26" spans="1:9" ht="14.25" x14ac:dyDescent="0.2">
      <c r="A26" s="95"/>
      <c r="B26" s="92" t="s">
        <v>210</v>
      </c>
      <c r="C26" s="70">
        <f>'Lamb Data'!B10</f>
        <v>405</v>
      </c>
      <c r="D26" s="69">
        <f>D25</f>
        <v>512.79999999999995</v>
      </c>
      <c r="E26" s="69">
        <f>'Lamb Data'!D10</f>
        <v>511</v>
      </c>
      <c r="F26" s="86">
        <f>'Lamb Data'!E10</f>
        <v>0</v>
      </c>
      <c r="G26" s="95"/>
      <c r="H26" s="74"/>
    </row>
    <row r="27" spans="1:9" ht="15" thickBot="1" x14ac:dyDescent="0.25">
      <c r="A27" s="95"/>
      <c r="B27" s="99" t="str">
        <f>IF(C9&lt;'Lamb Data'!B47,"Realisation",IF(C9&lt;'Lamb Data'!B46,"Realisation",IF(Lamb!C9&lt;'Lamb Data'!B45,"IoMMs small carcass reduction of 20p", " ")))</f>
        <v xml:space="preserve"> </v>
      </c>
      <c r="C27" s="95"/>
      <c r="D27" s="95"/>
      <c r="E27" s="95"/>
      <c r="F27" s="95"/>
      <c r="G27" s="95"/>
    </row>
    <row r="28" spans="1:9" ht="15" thickBot="1" x14ac:dyDescent="0.25">
      <c r="A28" s="95"/>
      <c r="B28" s="255" t="s">
        <v>177</v>
      </c>
      <c r="C28" s="256" t="s">
        <v>49</v>
      </c>
      <c r="D28" s="257" t="s">
        <v>194</v>
      </c>
      <c r="E28" s="257" t="s">
        <v>168</v>
      </c>
      <c r="F28" s="258" t="s">
        <v>43</v>
      </c>
      <c r="G28" s="95"/>
    </row>
    <row r="29" spans="1:9" ht="14.25" x14ac:dyDescent="0.2">
      <c r="A29" s="95"/>
      <c r="B29" s="252" t="s">
        <v>101</v>
      </c>
      <c r="C29" s="253">
        <f>'Lamb Data'!B26</f>
        <v>0</v>
      </c>
      <c r="D29" s="253">
        <f>'Lamb Data'!C26</f>
        <v>60</v>
      </c>
      <c r="E29" s="253">
        <f>'Lamb Data'!D26</f>
        <v>60</v>
      </c>
      <c r="F29" s="254">
        <f>'Lamb Data'!E26</f>
        <v>0</v>
      </c>
      <c r="G29" s="95"/>
    </row>
    <row r="30" spans="1:9" ht="14.25" x14ac:dyDescent="0.2">
      <c r="A30" s="95"/>
      <c r="B30" s="92" t="s">
        <v>66</v>
      </c>
      <c r="C30" s="69">
        <f>'Lamb Data'!B27</f>
        <v>0</v>
      </c>
      <c r="D30" s="69">
        <f>'Lamb Data'!C27</f>
        <v>0</v>
      </c>
      <c r="E30" s="69">
        <f>'Lamb Data'!D27</f>
        <v>0</v>
      </c>
      <c r="F30" s="107">
        <f>'Lamb Data'!E27</f>
        <v>0</v>
      </c>
      <c r="G30" s="95"/>
      <c r="I30" s="74"/>
    </row>
    <row r="31" spans="1:9" ht="14.25" x14ac:dyDescent="0.2">
      <c r="A31" s="95"/>
      <c r="B31" s="92" t="s">
        <v>191</v>
      </c>
      <c r="C31" s="69">
        <f>'Lamb Data'!B28+'Lamb Data'!B29</f>
        <v>68</v>
      </c>
      <c r="D31" s="69">
        <f>'Lamb Data'!C28+'Lamb Data'!C29</f>
        <v>93</v>
      </c>
      <c r="E31" s="69">
        <f>'Lamb Data'!D28+'Lamb Data'!D29</f>
        <v>93</v>
      </c>
      <c r="F31" s="69">
        <f>'Lamb Data'!E28+'Lamb Data'!E29</f>
        <v>0</v>
      </c>
      <c r="G31" s="95"/>
    </row>
    <row r="32" spans="1:9" ht="14.25" x14ac:dyDescent="0.2">
      <c r="A32" s="95"/>
      <c r="B32" s="92" t="s">
        <v>170</v>
      </c>
      <c r="C32" s="225">
        <f>'Lamb Data'!B31</f>
        <v>50</v>
      </c>
      <c r="D32" s="225">
        <f>'Lamb Data'!C31</f>
        <v>50</v>
      </c>
      <c r="E32" s="225">
        <f>'Lamb Data'!D31</f>
        <v>0</v>
      </c>
      <c r="F32" s="226">
        <f>'Lamb Data'!E31</f>
        <v>0</v>
      </c>
      <c r="G32" s="95"/>
    </row>
    <row r="33" spans="1:7" ht="14.25" x14ac:dyDescent="0.2">
      <c r="A33" s="95"/>
      <c r="B33" s="92" t="s">
        <v>50</v>
      </c>
      <c r="C33" s="69">
        <f>'Lamb Data'!B32</f>
        <v>56</v>
      </c>
      <c r="D33" s="69">
        <f>'Lamb Data'!C32</f>
        <v>85</v>
      </c>
      <c r="E33" s="69">
        <f>'Lamb Data'!D32</f>
        <v>85</v>
      </c>
      <c r="F33" s="107">
        <f>'Lamb Data'!E32</f>
        <v>0</v>
      </c>
      <c r="G33" s="95"/>
    </row>
    <row r="34" spans="1:7" ht="14.25" x14ac:dyDescent="0.2">
      <c r="A34" s="95"/>
      <c r="B34" s="205" t="s">
        <v>172</v>
      </c>
      <c r="C34" s="69">
        <f>'Lamb Data'!B33</f>
        <v>0</v>
      </c>
      <c r="D34" s="69">
        <f>'Lamb Data'!C33</f>
        <v>0</v>
      </c>
      <c r="E34" s="69">
        <f>'Lamb Data'!D33</f>
        <v>0</v>
      </c>
      <c r="F34" s="86">
        <f>'Lamb Data'!E33</f>
        <v>0</v>
      </c>
      <c r="G34" s="95"/>
    </row>
    <row r="35" spans="1:7" ht="15" thickBot="1" x14ac:dyDescent="0.25">
      <c r="A35" s="95"/>
      <c r="B35" s="244" t="str">
        <f>'Lamb Data'!A34</f>
        <v>Tail &amp; Kidney Knob</v>
      </c>
      <c r="C35" s="245"/>
      <c r="D35" s="245"/>
      <c r="E35" s="246">
        <f>'Lamb Data'!F34</f>
        <v>485.45000000000005</v>
      </c>
      <c r="F35" s="247">
        <f>'Lamb Data'!E34</f>
        <v>0</v>
      </c>
      <c r="G35" s="95"/>
    </row>
    <row r="36" spans="1:7" ht="15" thickBot="1" x14ac:dyDescent="0.25">
      <c r="A36" s="95"/>
      <c r="B36" s="248" t="s">
        <v>31</v>
      </c>
      <c r="C36" s="249">
        <f>'Lamb Data'!B35</f>
        <v>174</v>
      </c>
      <c r="D36" s="249">
        <f>'Lamb Data'!C35</f>
        <v>288</v>
      </c>
      <c r="E36" s="250">
        <f>'Lamb Data'!F35</f>
        <v>723.45</v>
      </c>
      <c r="F36" s="251">
        <f>'Lamb Data'!E35</f>
        <v>0</v>
      </c>
      <c r="G36" s="96"/>
    </row>
    <row r="37" spans="1:7" ht="14.25" x14ac:dyDescent="0.2">
      <c r="A37" s="95"/>
      <c r="B37" s="95"/>
      <c r="C37" s="96"/>
      <c r="D37" s="96"/>
      <c r="E37" s="95"/>
      <c r="F37" s="97"/>
      <c r="G37" s="96"/>
    </row>
    <row r="38" spans="1:7" ht="14.25" x14ac:dyDescent="0.2">
      <c r="A38" s="95"/>
      <c r="B38" s="91" t="s">
        <v>30</v>
      </c>
      <c r="C38" s="94">
        <f>'Lamb Data'!B36</f>
        <v>9.1578947368421044</v>
      </c>
      <c r="D38" s="94">
        <f>'Lamb Data'!C36</f>
        <v>15.157894736842104</v>
      </c>
      <c r="E38" s="94">
        <f>'Lamb Data'!F36</f>
        <v>40.0803324099723</v>
      </c>
      <c r="F38" s="94">
        <f>'Lamb Data'!E36</f>
        <v>0</v>
      </c>
      <c r="G38" s="97"/>
    </row>
    <row r="39" spans="1:7" ht="14.25" x14ac:dyDescent="0.2">
      <c r="A39" s="95"/>
      <c r="B39" s="99" t="str">
        <f>IF('Lamb Data'!D6&gt;0,"Abattoir deduction includes 5% reduction in carcass wt for Tail, Kidney knob etc"," ")</f>
        <v>Abattoir deduction includes 5% reduction in carcass wt for Tail, Kidney knob etc</v>
      </c>
      <c r="C39" s="95"/>
      <c r="D39" s="95"/>
      <c r="E39" s="95"/>
      <c r="F39" s="95"/>
      <c r="G39" s="97"/>
    </row>
    <row r="40" spans="1:7" ht="14.25" x14ac:dyDescent="0.2">
      <c r="A40" s="95"/>
      <c r="B40" s="91" t="s">
        <v>32</v>
      </c>
      <c r="C40" s="94">
        <f>'Lamb Data'!B13</f>
        <v>3.9584210526315786</v>
      </c>
      <c r="D40" s="94">
        <f>'Lamb Data'!C13</f>
        <v>4.9764210526315784</v>
      </c>
      <c r="E40" s="94">
        <f>'Lamb Data'!F13</f>
        <v>4.7292368421052631</v>
      </c>
      <c r="F40" s="94">
        <f>'Lamb Data'!E13</f>
        <v>0</v>
      </c>
      <c r="G40" s="96"/>
    </row>
    <row r="41" spans="1:7" ht="14.25" x14ac:dyDescent="0.2">
      <c r="A41" s="95"/>
      <c r="B41" s="95"/>
      <c r="C41" s="95"/>
      <c r="D41" s="95"/>
      <c r="E41" s="95"/>
      <c r="F41" s="95"/>
      <c r="G41" s="95"/>
    </row>
    <row r="42" spans="1:7" ht="14.25" x14ac:dyDescent="0.2">
      <c r="A42" s="95"/>
      <c r="B42" s="91" t="s">
        <v>34</v>
      </c>
      <c r="C42" s="82">
        <f>'Lamb Data'!B16</f>
        <v>75.210000000000008</v>
      </c>
      <c r="D42" s="82">
        <f>'Lamb Data'!C16</f>
        <v>94.551999999999992</v>
      </c>
      <c r="E42" s="82">
        <f>'Lamb Data'!F16</f>
        <v>89.855500000000006</v>
      </c>
      <c r="F42" s="82">
        <f>'Lamb Data'!E16</f>
        <v>0</v>
      </c>
      <c r="G42" s="98"/>
    </row>
    <row r="43" spans="1:7" ht="15" thickBot="1" x14ac:dyDescent="0.25">
      <c r="A43" s="95"/>
      <c r="B43" s="97"/>
      <c r="C43" s="97"/>
      <c r="D43" s="97"/>
      <c r="E43" s="97"/>
      <c r="F43" s="97"/>
      <c r="G43" s="98"/>
    </row>
    <row r="44" spans="1:7" ht="15" thickBot="1" x14ac:dyDescent="0.25">
      <c r="A44" s="95"/>
      <c r="B44" s="262" t="s">
        <v>195</v>
      </c>
      <c r="C44" s="263"/>
      <c r="D44" s="264">
        <f>$C$42/D42</f>
        <v>0.79543531601658357</v>
      </c>
      <c r="E44" s="264">
        <f t="shared" ref="E44" si="0">$C$42/E42</f>
        <v>0.83701053357891286</v>
      </c>
      <c r="F44" s="265" t="str">
        <f>IF(F42&gt;0,$C$42/F42,"")</f>
        <v/>
      </c>
      <c r="G44" s="98"/>
    </row>
    <row r="45" spans="1:7" x14ac:dyDescent="0.25">
      <c r="A45" s="95"/>
      <c r="B45" s="97"/>
      <c r="C45" s="101"/>
      <c r="D45" s="98"/>
      <c r="E45" s="98"/>
      <c r="F45" s="98"/>
      <c r="G45" s="98"/>
    </row>
    <row r="46" spans="1:7" x14ac:dyDescent="0.25">
      <c r="A46" s="95"/>
      <c r="B46" s="220" t="s">
        <v>192</v>
      </c>
      <c r="C46" s="82">
        <f>'Lamb Data'!B30/100</f>
        <v>1.4</v>
      </c>
      <c r="D46" s="82">
        <f>'Lamb Data'!C18</f>
        <v>11.843333333333334</v>
      </c>
      <c r="E46" s="82">
        <f>'Lamb export'!H34</f>
        <v>11.843333333333334</v>
      </c>
      <c r="F46" s="82">
        <f>'Lamb export'!J34</f>
        <v>11.843333333333334</v>
      </c>
      <c r="G46" s="98"/>
    </row>
    <row r="47" spans="1:7" x14ac:dyDescent="0.25">
      <c r="A47" s="95"/>
      <c r="B47" s="97"/>
      <c r="C47" s="101"/>
      <c r="D47" s="101"/>
      <c r="E47" s="101"/>
      <c r="F47" s="101"/>
      <c r="G47" s="98"/>
    </row>
    <row r="48" spans="1:7" x14ac:dyDescent="0.25">
      <c r="A48" s="95"/>
      <c r="B48" s="91" t="s">
        <v>141</v>
      </c>
      <c r="C48" s="82">
        <f>'Lamb Data'!B20</f>
        <v>73.81</v>
      </c>
      <c r="D48" s="82">
        <f>'Lamb Data'!C20</f>
        <v>82.708666666666659</v>
      </c>
      <c r="E48" s="82">
        <f>'Lamb Data'!F20</f>
        <v>78.012166666666673</v>
      </c>
      <c r="F48" s="82">
        <f>'Lamb Data'!E20</f>
        <v>-11.843333333333334</v>
      </c>
      <c r="G48" s="95"/>
    </row>
    <row r="49" spans="1:7" ht="14.4" thickBot="1" x14ac:dyDescent="0.3">
      <c r="A49" s="95"/>
      <c r="B49" s="95"/>
      <c r="C49" s="95"/>
      <c r="D49" s="95"/>
      <c r="E49" s="95"/>
      <c r="F49" s="95"/>
      <c r="G49" s="95"/>
    </row>
    <row r="50" spans="1:7" ht="14.4" thickBot="1" x14ac:dyDescent="0.3">
      <c r="A50" s="95"/>
      <c r="B50" s="262" t="s">
        <v>195</v>
      </c>
      <c r="C50" s="266"/>
      <c r="D50" s="264">
        <f>$C$48/D48</f>
        <v>0.89240950162417487</v>
      </c>
      <c r="E50" s="264">
        <f>$C$48/E48</f>
        <v>0.94613447047789545</v>
      </c>
      <c r="F50" s="265" t="str">
        <f>IF(F48&gt;0,$C$48/F48,"")</f>
        <v/>
      </c>
      <c r="G50" s="95"/>
    </row>
    <row r="51" spans="1:7" ht="14.4" thickBot="1" x14ac:dyDescent="0.3">
      <c r="A51" s="95"/>
      <c r="B51" s="95"/>
      <c r="C51" s="95"/>
      <c r="D51" s="95"/>
      <c r="E51" s="95"/>
      <c r="F51" s="95"/>
      <c r="G51" s="95"/>
    </row>
    <row r="52" spans="1:7" ht="14.4" thickBot="1" x14ac:dyDescent="0.3">
      <c r="A52" s="95"/>
      <c r="B52" s="262" t="s">
        <v>205</v>
      </c>
      <c r="C52" s="310" t="s">
        <v>15</v>
      </c>
      <c r="D52" s="332" t="s">
        <v>213</v>
      </c>
      <c r="E52" s="333"/>
      <c r="F52" s="295" t="s">
        <v>43</v>
      </c>
      <c r="G52" s="95"/>
    </row>
    <row r="53" spans="1:7" ht="14.4" thickBot="1" x14ac:dyDescent="0.3">
      <c r="A53" s="95"/>
      <c r="B53" s="95"/>
      <c r="C53" s="95"/>
      <c r="D53" s="293"/>
      <c r="E53" s="294"/>
      <c r="F53" s="296"/>
      <c r="G53" s="95"/>
    </row>
    <row r="54" spans="1:7" ht="14.4" thickBot="1" x14ac:dyDescent="0.3">
      <c r="A54" s="95"/>
      <c r="B54" s="282" t="s">
        <v>214</v>
      </c>
      <c r="C54" s="292"/>
      <c r="D54" s="297">
        <f>'Lamb export'!H22</f>
        <v>300</v>
      </c>
      <c r="E54" s="298">
        <f>'Lamb export'!I22</f>
        <v>600</v>
      </c>
      <c r="F54" s="299">
        <f>'Lamb export'!J22</f>
        <v>300</v>
      </c>
      <c r="G54" s="95"/>
    </row>
    <row r="55" spans="1:7" ht="14.4" thickBot="1" x14ac:dyDescent="0.3">
      <c r="A55" s="95"/>
      <c r="B55" s="95"/>
      <c r="C55" s="100"/>
      <c r="D55" s="300"/>
      <c r="E55" s="301"/>
      <c r="F55" s="302"/>
      <c r="G55" s="95"/>
    </row>
    <row r="56" spans="1:7" ht="14.4" thickBot="1" x14ac:dyDescent="0.3">
      <c r="A56" s="95"/>
      <c r="B56" s="262" t="s">
        <v>141</v>
      </c>
      <c r="C56" s="309">
        <f>C48</f>
        <v>73.81</v>
      </c>
      <c r="D56" s="303">
        <f>('Lamb export'!E7*'Lamb export'!E8)-'Lamb export'!H61</f>
        <v>51.799916666666668</v>
      </c>
      <c r="E56" s="304">
        <f>('Lamb export'!E7*'Lamb export'!E8)-'Lamb export'!I61</f>
        <v>57.071583333333336</v>
      </c>
      <c r="F56" s="305">
        <f>('Lamb export'!E7*'Lamb export'!E8)-'Lamb export'!J61</f>
        <v>51.799916666666668</v>
      </c>
      <c r="G56" s="95"/>
    </row>
    <row r="57" spans="1:7" ht="14.4" thickBot="1" x14ac:dyDescent="0.3">
      <c r="A57" s="95"/>
      <c r="B57" s="95"/>
      <c r="C57" s="100"/>
      <c r="D57" s="300"/>
      <c r="E57" s="301"/>
      <c r="F57" s="302"/>
      <c r="G57" s="95"/>
    </row>
    <row r="58" spans="1:7" ht="14.4" thickBot="1" x14ac:dyDescent="0.3">
      <c r="A58" s="95"/>
      <c r="B58" s="262" t="s">
        <v>206</v>
      </c>
      <c r="C58" s="292"/>
      <c r="D58" s="306">
        <f>$C$48/D56</f>
        <v>1.4249057672229202</v>
      </c>
      <c r="E58" s="307">
        <f>$C$48/E56</f>
        <v>1.2932881074790576</v>
      </c>
      <c r="F58" s="308">
        <f>IF(F56&gt;0,$C$48/F56,"")</f>
        <v>1.4249057672229202</v>
      </c>
      <c r="G58" s="95"/>
    </row>
    <row r="59" spans="1:7" x14ac:dyDescent="0.25">
      <c r="B59" s="95"/>
      <c r="C59" s="100"/>
      <c r="D59" s="95"/>
      <c r="E59" s="95"/>
      <c r="F59" s="95"/>
      <c r="G59" s="95"/>
    </row>
    <row r="60" spans="1:7" x14ac:dyDescent="0.25">
      <c r="B60" s="67"/>
      <c r="C60" s="75"/>
      <c r="D60" s="67"/>
      <c r="E60" s="67"/>
    </row>
    <row r="83" spans="4:4" x14ac:dyDescent="0.25">
      <c r="D83" s="64" t="s">
        <v>11</v>
      </c>
    </row>
  </sheetData>
  <sheetProtection sheet="1" objects="1" scenarios="1" selectLockedCells="1"/>
  <mergeCells count="5">
    <mergeCell ref="B6:D6"/>
    <mergeCell ref="B14:D14"/>
    <mergeCell ref="B7:D7"/>
    <mergeCell ref="B3:C3"/>
    <mergeCell ref="D52:E52"/>
  </mergeCells>
  <conditionalFormatting sqref="C26">
    <cfRule type="cellIs" dxfId="8" priority="1" operator="lessThan">
      <formula>$C$25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'Lamb Data'!$H$25:$H$29</xm:f>
          </x14:formula1>
          <xm:sqref>C12</xm:sqref>
        </x14:dataValidation>
        <x14:dataValidation type="list" allowBlank="1" showInputMessage="1" showErrorMessage="1">
          <x14:formula1>
            <xm:f>'Lamb Data'!$I$16:$O$16</xm:f>
          </x14:formula1>
          <xm:sqref>D12</xm:sqref>
        </x14:dataValidation>
        <x14:dataValidation type="list" allowBlank="1" showInputMessage="1" showErrorMessage="1">
          <x14:formula1>
            <xm:f>'Lamb Data'!$D$43:$D$82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82"/>
  <sheetViews>
    <sheetView zoomScale="74" zoomScaleNormal="74" workbookViewId="0">
      <selection activeCell="K19" sqref="K19"/>
    </sheetView>
  </sheetViews>
  <sheetFormatPr defaultRowHeight="13.8" x14ac:dyDescent="0.25"/>
  <cols>
    <col min="1" max="1" width="17" customWidth="1"/>
    <col min="2" max="2" width="10.5" bestFit="1" customWidth="1"/>
    <col min="4" max="4" width="10.59765625" customWidth="1"/>
    <col min="5" max="5" width="12.09765625" customWidth="1"/>
    <col min="6" max="6" width="9" customWidth="1"/>
  </cols>
  <sheetData>
    <row r="1" spans="1:25" ht="15" customHeight="1" x14ac:dyDescent="0.2">
      <c r="A1" t="s">
        <v>33</v>
      </c>
      <c r="B1" s="237">
        <v>42889</v>
      </c>
      <c r="C1" t="s">
        <v>148</v>
      </c>
      <c r="E1" s="238">
        <v>22</v>
      </c>
      <c r="K1" s="335" t="s">
        <v>199</v>
      </c>
      <c r="L1" s="336"/>
      <c r="M1" s="336"/>
      <c r="N1" s="336"/>
      <c r="O1" s="336"/>
      <c r="P1" s="336"/>
      <c r="Q1" s="336"/>
      <c r="R1" s="336"/>
      <c r="S1" s="336"/>
      <c r="T1" s="336"/>
      <c r="U1" s="276"/>
      <c r="V1" s="334" t="s">
        <v>8</v>
      </c>
      <c r="W1" s="334"/>
      <c r="X1" s="334">
        <v>5</v>
      </c>
      <c r="Y1" s="334"/>
    </row>
    <row r="2" spans="1:25" x14ac:dyDescent="0.25">
      <c r="A2" t="s">
        <v>28</v>
      </c>
      <c r="B2" s="240">
        <f>L9</f>
        <v>29870</v>
      </c>
      <c r="D2" t="s">
        <v>95</v>
      </c>
      <c r="G2" s="50">
        <v>2.5000000000000001E-2</v>
      </c>
      <c r="K2" s="7"/>
      <c r="L2" s="7" t="s">
        <v>25</v>
      </c>
      <c r="M2" s="7" t="s">
        <v>26</v>
      </c>
      <c r="N2" s="7" t="s">
        <v>25</v>
      </c>
      <c r="O2" s="7" t="s">
        <v>26</v>
      </c>
      <c r="P2" s="7" t="s">
        <v>25</v>
      </c>
      <c r="Q2" s="7" t="s">
        <v>26</v>
      </c>
      <c r="R2" s="7" t="s">
        <v>25</v>
      </c>
      <c r="S2" s="7" t="s">
        <v>26</v>
      </c>
      <c r="T2" s="7" t="s">
        <v>25</v>
      </c>
      <c r="U2" s="7" t="s">
        <v>26</v>
      </c>
      <c r="V2" s="7" t="s">
        <v>25</v>
      </c>
      <c r="W2" s="7" t="s">
        <v>26</v>
      </c>
      <c r="X2" s="7" t="s">
        <v>25</v>
      </c>
      <c r="Y2" s="7" t="s">
        <v>26</v>
      </c>
    </row>
    <row r="3" spans="1:25" ht="14.25" customHeight="1" x14ac:dyDescent="0.25">
      <c r="A3" t="s">
        <v>15</v>
      </c>
      <c r="B3" s="239">
        <v>375</v>
      </c>
      <c r="D3" t="s">
        <v>96</v>
      </c>
      <c r="G3" s="50">
        <v>2.5000000000000001E-2</v>
      </c>
      <c r="K3" s="8" t="s">
        <v>9</v>
      </c>
      <c r="L3" s="230"/>
      <c r="M3" s="9">
        <v>505.7</v>
      </c>
      <c r="N3" s="230"/>
      <c r="O3" s="9">
        <v>518</v>
      </c>
      <c r="P3" s="230"/>
      <c r="Q3" s="9">
        <v>516.4</v>
      </c>
      <c r="R3" s="230"/>
      <c r="S3" s="9">
        <v>499</v>
      </c>
      <c r="T3" s="230"/>
      <c r="U3" s="9">
        <v>479.5</v>
      </c>
      <c r="V3" s="230"/>
      <c r="W3" s="9">
        <v>457.1</v>
      </c>
      <c r="X3" s="230"/>
      <c r="Y3" s="9">
        <v>425</v>
      </c>
    </row>
    <row r="4" spans="1:25" ht="14.25" customHeight="1" x14ac:dyDescent="0.25">
      <c r="A4" t="s">
        <v>92</v>
      </c>
      <c r="B4" t="str">
        <f>CONCATENATE(Lamb!C12,Lamb!D12)</f>
        <v>U3L</v>
      </c>
      <c r="K4" s="10" t="s">
        <v>10</v>
      </c>
      <c r="L4" s="11"/>
      <c r="M4" s="12">
        <v>501.8</v>
      </c>
      <c r="N4" s="11"/>
      <c r="O4" s="12">
        <v>513.5</v>
      </c>
      <c r="P4" s="11"/>
      <c r="Q4" s="12">
        <v>512.79999999999995</v>
      </c>
      <c r="R4" s="11"/>
      <c r="S4" s="12">
        <v>499.1</v>
      </c>
      <c r="T4" s="11"/>
      <c r="U4" s="12">
        <v>477.5</v>
      </c>
      <c r="V4" s="11"/>
      <c r="W4" s="12">
        <v>452.1</v>
      </c>
      <c r="X4" s="11"/>
      <c r="Y4" s="12">
        <v>421</v>
      </c>
    </row>
    <row r="5" spans="1:25" ht="14.25" customHeight="1" x14ac:dyDescent="0.25">
      <c r="A5" t="s">
        <v>91</v>
      </c>
      <c r="B5">
        <f>Lamb!C9</f>
        <v>19</v>
      </c>
      <c r="K5" s="8" t="s">
        <v>11</v>
      </c>
      <c r="L5" s="230"/>
      <c r="M5" s="9">
        <v>488.5</v>
      </c>
      <c r="N5" s="230"/>
      <c r="O5" s="9">
        <v>504.2</v>
      </c>
      <c r="P5" s="230"/>
      <c r="Q5" s="9">
        <v>504.3</v>
      </c>
      <c r="R5" s="230"/>
      <c r="S5" s="9">
        <v>495.4</v>
      </c>
      <c r="T5" s="230"/>
      <c r="U5" s="9">
        <v>479.9</v>
      </c>
      <c r="V5" s="230"/>
      <c r="W5" s="9">
        <v>449.4</v>
      </c>
      <c r="X5" s="230"/>
      <c r="Y5" s="9">
        <v>420.7</v>
      </c>
    </row>
    <row r="6" spans="1:25" ht="14.25" customHeight="1" x14ac:dyDescent="0.25">
      <c r="A6" t="s">
        <v>94</v>
      </c>
      <c r="B6">
        <v>0</v>
      </c>
      <c r="D6" s="51">
        <v>0.05</v>
      </c>
      <c r="K6" s="10" t="s">
        <v>12</v>
      </c>
      <c r="L6" s="11"/>
      <c r="M6" s="12">
        <v>462.7</v>
      </c>
      <c r="N6" s="11"/>
      <c r="O6" s="12">
        <v>491.3</v>
      </c>
      <c r="P6" s="11"/>
      <c r="Q6" s="12">
        <v>492.8</v>
      </c>
      <c r="R6" s="11"/>
      <c r="S6" s="12">
        <v>491.9</v>
      </c>
      <c r="T6" s="11"/>
      <c r="U6" s="12">
        <v>486.1</v>
      </c>
      <c r="V6" s="11"/>
      <c r="W6" s="12">
        <v>465</v>
      </c>
      <c r="X6" s="11"/>
      <c r="Y6" s="12">
        <v>0</v>
      </c>
    </row>
    <row r="7" spans="1:25" ht="14.25" customHeight="1" x14ac:dyDescent="0.25">
      <c r="A7" t="s">
        <v>16</v>
      </c>
      <c r="B7" s="6">
        <f>B5-B6</f>
        <v>19</v>
      </c>
      <c r="D7" s="6">
        <f>B5-(B5*D6)</f>
        <v>18.05</v>
      </c>
      <c r="E7" s="1">
        <f>Lamb!C9</f>
        <v>19</v>
      </c>
      <c r="F7" s="198">
        <f>Lamb!C9</f>
        <v>19</v>
      </c>
      <c r="K7" s="8" t="s">
        <v>13</v>
      </c>
      <c r="L7" s="230"/>
      <c r="M7" s="9">
        <v>363.3</v>
      </c>
      <c r="N7" s="230"/>
      <c r="O7" s="9">
        <v>371.3</v>
      </c>
      <c r="P7" s="230"/>
      <c r="Q7" s="9">
        <v>390</v>
      </c>
      <c r="R7" s="230" t="s">
        <v>27</v>
      </c>
      <c r="S7" s="9" t="s">
        <v>27</v>
      </c>
      <c r="T7" s="230" t="s">
        <v>27</v>
      </c>
      <c r="U7" s="9" t="s">
        <v>27</v>
      </c>
      <c r="V7" s="230" t="s">
        <v>27</v>
      </c>
      <c r="W7" s="9" t="s">
        <v>27</v>
      </c>
      <c r="X7" s="230" t="s">
        <v>27</v>
      </c>
      <c r="Y7" s="9" t="s">
        <v>27</v>
      </c>
    </row>
    <row r="8" spans="1:25" ht="24" x14ac:dyDescent="0.25">
      <c r="B8" t="s">
        <v>15</v>
      </c>
      <c r="C8" s="13" t="s">
        <v>20</v>
      </c>
      <c r="D8" s="13" t="s">
        <v>79</v>
      </c>
      <c r="E8" s="1" t="s">
        <v>43</v>
      </c>
      <c r="F8" s="199" t="s">
        <v>167</v>
      </c>
      <c r="K8" s="311" t="s">
        <v>146</v>
      </c>
      <c r="L8" s="311" t="s">
        <v>147</v>
      </c>
    </row>
    <row r="9" spans="1:25" ht="14.25" customHeight="1" x14ac:dyDescent="0.25">
      <c r="A9" t="s">
        <v>83</v>
      </c>
      <c r="B9">
        <f>VLOOKUP(Lamb!C12,'Lamb Data'!H24:O29,MATCH(Lamb!D12,'Lamb Data'!H24:O24,0),0)</f>
        <v>405</v>
      </c>
      <c r="C9">
        <f>VLOOKUP(Lamb!C12,'Lamb Data'!H16:O21, MATCH(Lamb!D12,'Lamb Data'!H16:O16,0),0)</f>
        <v>512.79999999999995</v>
      </c>
      <c r="D9">
        <f>VLOOKUP(Lamb!C12,H48:O53, MATCH(Lamb!D12,H48:O48,0),0)</f>
        <v>511</v>
      </c>
      <c r="E9" s="1">
        <f>Lamb!C10</f>
        <v>0</v>
      </c>
      <c r="F9" s="198">
        <f>D9</f>
        <v>511</v>
      </c>
      <c r="K9" s="9">
        <v>378.2</v>
      </c>
      <c r="L9" s="319">
        <v>29870</v>
      </c>
      <c r="P9" s="2"/>
      <c r="Q9" s="48">
        <v>2</v>
      </c>
      <c r="R9" s="48" t="s">
        <v>5</v>
      </c>
      <c r="S9" s="48" t="s">
        <v>6</v>
      </c>
    </row>
    <row r="10" spans="1:25" ht="14.25" customHeight="1" x14ac:dyDescent="0.25">
      <c r="A10" t="s">
        <v>84</v>
      </c>
      <c r="B10">
        <f>IF(Lamb!C9&lt;'Lamb Data'!B47,"Realisation",IF(Lamb!C9&lt;'Lamb Data'!B46,"Realisation",IF(Lamb!C9&lt;'Lamb Data'!B45,'Lamb Data'!B9-'Lamb Data'!C45,'Lamb Data'!B9)))</f>
        <v>405</v>
      </c>
      <c r="C10">
        <f>C9</f>
        <v>512.79999999999995</v>
      </c>
      <c r="D10">
        <f>IF(D7&lt;B51,"Price quoted Daily",IF(D7&gt;B50,D9,D9))</f>
        <v>511</v>
      </c>
      <c r="E10" s="193">
        <f>Lamb!F25</f>
        <v>0</v>
      </c>
      <c r="F10" s="198">
        <f>D10</f>
        <v>511</v>
      </c>
      <c r="K10" s="87">
        <v>-0.7</v>
      </c>
      <c r="L10" s="312">
        <v>7.0000000000000007E-2</v>
      </c>
      <c r="P10" s="48" t="s">
        <v>9</v>
      </c>
      <c r="Q10" s="2"/>
      <c r="R10" s="2"/>
      <c r="S10" s="318">
        <f>S3</f>
        <v>499</v>
      </c>
    </row>
    <row r="11" spans="1:25" x14ac:dyDescent="0.25">
      <c r="A11" t="s">
        <v>85</v>
      </c>
      <c r="B11" s="16">
        <f>IF(Lamb!C9&gt;'Lamb Data'!B44,'Lamb Data'!B9*'Lamb Data'!B44/100,IF(Lamb!C9&lt;'Lamb Data'!B47,"Realisation",IF(Lamb!C9&lt;'Lamb Data'!B46,"Realisation",IF(Lamb!C9&lt;'Lamb Data'!B45,('Lamb Data'!B9-'Lamb Data'!C45)*Lamb!C9/100,Lamb!C9*'Lamb Data'!B9/100))))</f>
        <v>76.95</v>
      </c>
      <c r="C11" s="16">
        <f>IF(B5&gt;B50,C10*B50/100,C10*B5/100)</f>
        <v>97.431999999999988</v>
      </c>
      <c r="D11" s="16">
        <f>IF(D7&lt;B51,"Daily Price applied",IF(D7&gt;B50,B50*D10/100,D7*D10/100))</f>
        <v>92.235500000000016</v>
      </c>
      <c r="E11" s="194">
        <f>E10*B5/100</f>
        <v>0</v>
      </c>
      <c r="F11" s="200">
        <f>IF(D7&lt;B51,"Daily Price applied",IF(D7&gt;B50,B50*D10/100,B5*D10/100))</f>
        <v>97.09</v>
      </c>
      <c r="P11" s="48" t="s">
        <v>10</v>
      </c>
      <c r="Q11" s="2"/>
      <c r="R11" s="2"/>
      <c r="S11" s="318">
        <f>S4</f>
        <v>499.1</v>
      </c>
    </row>
    <row r="12" spans="1:25" x14ac:dyDescent="0.25">
      <c r="A12" t="s">
        <v>86</v>
      </c>
      <c r="B12" s="16">
        <f>IF(B5&gt;B46,B11/B5,B11)</f>
        <v>4.05</v>
      </c>
      <c r="C12" s="16">
        <f>C11/$B$7</f>
        <v>5.1279999999999992</v>
      </c>
      <c r="D12" s="16">
        <f>IF(B5&lt;B51,D11,D11/D7)</f>
        <v>5.1100000000000003</v>
      </c>
      <c r="E12" s="194">
        <f>E11/E7</f>
        <v>0</v>
      </c>
      <c r="F12" s="200">
        <f>IF(B5&lt;B51,F11,F11/F7)</f>
        <v>5.1100000000000003</v>
      </c>
      <c r="P12" s="48" t="s">
        <v>11</v>
      </c>
      <c r="Q12" s="318">
        <f>O5</f>
        <v>504.2</v>
      </c>
      <c r="R12" s="318">
        <f>Q5</f>
        <v>504.3</v>
      </c>
      <c r="S12" s="2"/>
    </row>
    <row r="13" spans="1:25" x14ac:dyDescent="0.25">
      <c r="A13" t="s">
        <v>87</v>
      </c>
      <c r="B13" s="16">
        <f>IF(B5&lt;B46,B12,(B12-((B35/100)/B5)))</f>
        <v>3.9584210526315786</v>
      </c>
      <c r="C13" s="16">
        <f>C12-((C35/100)/$B$7)</f>
        <v>4.9764210526315784</v>
      </c>
      <c r="D13" s="16">
        <f>IF(D7&lt;B51,D11,D12-((D35/100)/D7))</f>
        <v>4.9781440443213301</v>
      </c>
      <c r="E13" s="194">
        <f>E12-((E35/100)/E7)</f>
        <v>0</v>
      </c>
      <c r="F13" s="200">
        <f>IF(D7&lt;B51,F11,F12-((F35/100)/F7))</f>
        <v>4.7292368421052631</v>
      </c>
    </row>
    <row r="14" spans="1:25" ht="14.25" x14ac:dyDescent="0.2">
      <c r="A14" t="s">
        <v>97</v>
      </c>
      <c r="B14" s="16">
        <f>IF(B5&gt;21,0,B11-((B5-B6)*B10)/100)</f>
        <v>0</v>
      </c>
      <c r="E14" s="1"/>
      <c r="F14" s="198"/>
      <c r="H14" s="2" t="s">
        <v>14</v>
      </c>
      <c r="I14" s="2"/>
      <c r="J14" s="2"/>
      <c r="K14" s="2"/>
      <c r="L14" s="2"/>
      <c r="M14" s="2"/>
      <c r="N14" s="2"/>
      <c r="O14" s="2"/>
    </row>
    <row r="15" spans="1:25" ht="14.25" x14ac:dyDescent="0.2">
      <c r="B15" s="16"/>
      <c r="E15" s="1"/>
      <c r="F15" s="198"/>
      <c r="H15" s="2"/>
      <c r="I15" s="2"/>
      <c r="J15" s="2"/>
      <c r="K15" s="2"/>
      <c r="L15" s="2"/>
      <c r="M15" s="2"/>
      <c r="N15" s="2"/>
      <c r="O15" s="2"/>
    </row>
    <row r="16" spans="1:25" ht="14.25" x14ac:dyDescent="0.2">
      <c r="A16" s="76" t="s">
        <v>89</v>
      </c>
      <c r="B16" s="77">
        <f>(B11-(B35/100))-B14</f>
        <v>75.210000000000008</v>
      </c>
      <c r="C16" s="77">
        <f>C11-(C35/100)</f>
        <v>94.551999999999992</v>
      </c>
      <c r="D16" s="77">
        <f>D11-(D35/100)</f>
        <v>89.855500000000021</v>
      </c>
      <c r="E16" s="195">
        <f>E11-(E35/100)</f>
        <v>0</v>
      </c>
      <c r="F16" s="201">
        <f>F11-(F35/100)</f>
        <v>89.855500000000006</v>
      </c>
      <c r="H16" s="2" t="s">
        <v>20</v>
      </c>
      <c r="I16" s="3">
        <v>1</v>
      </c>
      <c r="J16" s="3">
        <v>2</v>
      </c>
      <c r="K16" s="3" t="s">
        <v>5</v>
      </c>
      <c r="L16" s="44" t="s">
        <v>6</v>
      </c>
      <c r="M16" s="3" t="s">
        <v>7</v>
      </c>
      <c r="N16" s="3" t="s">
        <v>8</v>
      </c>
      <c r="O16" s="3">
        <v>5</v>
      </c>
    </row>
    <row r="17" spans="1:15" ht="14.25" x14ac:dyDescent="0.2">
      <c r="E17" s="1"/>
      <c r="F17" s="198"/>
      <c r="H17" s="2" t="s">
        <v>9</v>
      </c>
      <c r="I17" s="2">
        <f>M3</f>
        <v>505.7</v>
      </c>
      <c r="J17" s="2">
        <f>O3</f>
        <v>518</v>
      </c>
      <c r="K17" s="2">
        <f>Q3</f>
        <v>516.4</v>
      </c>
      <c r="L17" s="2">
        <f>S3</f>
        <v>499</v>
      </c>
      <c r="M17" s="2">
        <f>U3</f>
        <v>479.5</v>
      </c>
      <c r="N17" s="2">
        <f>W3</f>
        <v>457.1</v>
      </c>
      <c r="O17" s="2">
        <f>Y3</f>
        <v>425</v>
      </c>
    </row>
    <row r="18" spans="1:15" ht="14.25" x14ac:dyDescent="0.2">
      <c r="A18" s="78" t="s">
        <v>140</v>
      </c>
      <c r="B18" s="76"/>
      <c r="C18" s="77">
        <f>D18</f>
        <v>11.843333333333334</v>
      </c>
      <c r="D18" s="77">
        <f>'Lamb export'!H34</f>
        <v>11.843333333333334</v>
      </c>
      <c r="E18" s="195">
        <f>'Lamb export'!J34</f>
        <v>11.843333333333334</v>
      </c>
      <c r="F18" s="200">
        <f>E18</f>
        <v>11.843333333333334</v>
      </c>
      <c r="G18" s="14"/>
      <c r="H18" s="2" t="s">
        <v>10</v>
      </c>
      <c r="I18" s="2">
        <f>M4</f>
        <v>501.8</v>
      </c>
      <c r="J18" s="2">
        <f>O4</f>
        <v>513.5</v>
      </c>
      <c r="K18" s="2">
        <f>Q4</f>
        <v>512.79999999999995</v>
      </c>
      <c r="L18" s="2">
        <f>S4</f>
        <v>499.1</v>
      </c>
      <c r="M18" s="2">
        <f>U4</f>
        <v>477.5</v>
      </c>
      <c r="N18" s="2">
        <f>W4</f>
        <v>452.1</v>
      </c>
      <c r="O18" s="2">
        <f>Y4</f>
        <v>421</v>
      </c>
    </row>
    <row r="19" spans="1:15" x14ac:dyDescent="0.25">
      <c r="A19" s="68" t="s">
        <v>193</v>
      </c>
      <c r="B19">
        <f>B30/100</f>
        <v>1.4</v>
      </c>
      <c r="E19" s="1"/>
      <c r="F19" s="198"/>
      <c r="H19" s="2" t="s">
        <v>11</v>
      </c>
      <c r="I19" s="2">
        <f>M5</f>
        <v>488.5</v>
      </c>
      <c r="J19" s="2">
        <f>O5</f>
        <v>504.2</v>
      </c>
      <c r="K19" s="2">
        <f>Q5</f>
        <v>504.3</v>
      </c>
      <c r="L19" s="2">
        <f>S5</f>
        <v>495.4</v>
      </c>
      <c r="M19" s="2">
        <f>U5</f>
        <v>479.9</v>
      </c>
      <c r="N19" s="2">
        <f>W5</f>
        <v>449.4</v>
      </c>
      <c r="O19" s="2">
        <f>Y5</f>
        <v>420.7</v>
      </c>
    </row>
    <row r="20" spans="1:15" ht="14.25" x14ac:dyDescent="0.2">
      <c r="A20" s="68" t="s">
        <v>141</v>
      </c>
      <c r="B20" s="79">
        <f>B16-B19</f>
        <v>73.81</v>
      </c>
      <c r="C20" s="79">
        <f>C16-C18</f>
        <v>82.708666666666659</v>
      </c>
      <c r="D20" s="79">
        <f>D16-D18</f>
        <v>78.012166666666687</v>
      </c>
      <c r="E20" s="196">
        <f>E16-E18</f>
        <v>-11.843333333333334</v>
      </c>
      <c r="F20" s="202">
        <f>F16-F18</f>
        <v>78.012166666666673</v>
      </c>
      <c r="H20" s="2" t="s">
        <v>12</v>
      </c>
      <c r="I20" s="2">
        <f>M6</f>
        <v>462.7</v>
      </c>
      <c r="J20" s="2">
        <f>O6</f>
        <v>491.3</v>
      </c>
      <c r="K20" s="2">
        <f>Q6</f>
        <v>492.8</v>
      </c>
      <c r="L20" s="2">
        <f>S6</f>
        <v>491.9</v>
      </c>
      <c r="M20" s="2">
        <f>U6</f>
        <v>486.1</v>
      </c>
      <c r="N20" s="2">
        <f>W6</f>
        <v>465</v>
      </c>
      <c r="O20" s="2">
        <f>Y6</f>
        <v>0</v>
      </c>
    </row>
    <row r="21" spans="1:15" ht="14.25" x14ac:dyDescent="0.2">
      <c r="E21" s="1"/>
      <c r="F21" s="198"/>
      <c r="H21" s="2" t="s">
        <v>13</v>
      </c>
      <c r="I21" s="2">
        <f>M7</f>
        <v>363.3</v>
      </c>
      <c r="J21" s="2">
        <f>O7</f>
        <v>371.3</v>
      </c>
      <c r="K21" s="2">
        <f>Q7</f>
        <v>390</v>
      </c>
      <c r="L21" s="2" t="str">
        <f>S7</f>
        <v>-</v>
      </c>
      <c r="M21" s="2" t="str">
        <f>U7</f>
        <v>-</v>
      </c>
      <c r="N21" s="2" t="str">
        <f>W7</f>
        <v>-</v>
      </c>
      <c r="O21" s="2" t="str">
        <f>Y7</f>
        <v>-</v>
      </c>
    </row>
    <row r="22" spans="1:15" ht="14.25" x14ac:dyDescent="0.2">
      <c r="E22" s="1"/>
      <c r="F22" s="198"/>
      <c r="H22" s="5"/>
      <c r="I22" s="5"/>
      <c r="J22" s="5"/>
      <c r="K22" s="5"/>
      <c r="L22" s="5"/>
      <c r="M22" s="5"/>
      <c r="N22" s="5"/>
      <c r="O22" s="5"/>
    </row>
    <row r="23" spans="1:15" ht="14.25" x14ac:dyDescent="0.2">
      <c r="E23" s="1"/>
      <c r="F23" s="198"/>
      <c r="H23" t="s">
        <v>51</v>
      </c>
      <c r="I23">
        <f>B3</f>
        <v>375</v>
      </c>
    </row>
    <row r="24" spans="1:15" ht="14.25" x14ac:dyDescent="0.2">
      <c r="E24" s="1"/>
      <c r="F24" s="198"/>
      <c r="H24" s="2" t="s">
        <v>15</v>
      </c>
      <c r="I24" s="3">
        <v>1</v>
      </c>
      <c r="J24" s="3">
        <v>2</v>
      </c>
      <c r="K24" s="3" t="s">
        <v>5</v>
      </c>
      <c r="L24" s="44" t="s">
        <v>6</v>
      </c>
      <c r="M24" s="3" t="s">
        <v>7</v>
      </c>
      <c r="N24" s="3" t="s">
        <v>8</v>
      </c>
      <c r="O24" s="3">
        <v>5</v>
      </c>
    </row>
    <row r="25" spans="1:15" ht="14.25" x14ac:dyDescent="0.2">
      <c r="B25" s="13" t="s">
        <v>15</v>
      </c>
      <c r="C25" s="13" t="s">
        <v>20</v>
      </c>
      <c r="D25" s="13" t="s">
        <v>79</v>
      </c>
      <c r="E25" s="197" t="s">
        <v>43</v>
      </c>
      <c r="F25" s="203" t="s">
        <v>167</v>
      </c>
      <c r="H25" s="2" t="s">
        <v>9</v>
      </c>
      <c r="I25">
        <f>$I$23-140</f>
        <v>235</v>
      </c>
      <c r="J25">
        <f>$I$23</f>
        <v>375</v>
      </c>
      <c r="K25" s="1">
        <f>$I$23+45</f>
        <v>420</v>
      </c>
      <c r="L25" s="1">
        <f>$I$23+45</f>
        <v>420</v>
      </c>
      <c r="M25">
        <f>$I$23</f>
        <v>375</v>
      </c>
      <c r="N25">
        <f>$I$23-130</f>
        <v>245</v>
      </c>
      <c r="O25">
        <f>$I$23-155</f>
        <v>220</v>
      </c>
    </row>
    <row r="26" spans="1:15" ht="14.25" x14ac:dyDescent="0.2">
      <c r="A26" t="s">
        <v>1</v>
      </c>
      <c r="B26">
        <v>0</v>
      </c>
      <c r="C26">
        <v>60</v>
      </c>
      <c r="D26">
        <v>60</v>
      </c>
      <c r="E26" s="1">
        <f>Lamb!C15</f>
        <v>0</v>
      </c>
      <c r="F26" s="198">
        <f>D26</f>
        <v>60</v>
      </c>
      <c r="H26" s="2" t="s">
        <v>10</v>
      </c>
      <c r="I26">
        <f t="shared" ref="I26:I27" si="0">$I$23-140</f>
        <v>235</v>
      </c>
      <c r="J26">
        <f>$I$23-20</f>
        <v>355</v>
      </c>
      <c r="K26" s="1">
        <f>$I$23+30</f>
        <v>405</v>
      </c>
      <c r="L26" s="1">
        <f>$I$23+30</f>
        <v>405</v>
      </c>
      <c r="M26">
        <f>$I$23</f>
        <v>375</v>
      </c>
      <c r="N26">
        <f t="shared" ref="N26:N28" si="1">$I$23-130</f>
        <v>245</v>
      </c>
      <c r="O26">
        <f t="shared" ref="O26:O28" si="2">$I$23-155</f>
        <v>220</v>
      </c>
    </row>
    <row r="27" spans="1:15" ht="14.25" x14ac:dyDescent="0.2">
      <c r="A27" t="s">
        <v>0</v>
      </c>
      <c r="B27">
        <v>0</v>
      </c>
      <c r="C27">
        <v>0</v>
      </c>
      <c r="D27">
        <v>0</v>
      </c>
      <c r="E27" s="1">
        <f>Lamb!C16</f>
        <v>0</v>
      </c>
      <c r="F27" s="198">
        <f t="shared" ref="F27:F29" si="3">D27</f>
        <v>0</v>
      </c>
      <c r="H27" s="2" t="s">
        <v>11</v>
      </c>
      <c r="I27">
        <f t="shared" si="0"/>
        <v>235</v>
      </c>
      <c r="J27">
        <f>$I$23-35</f>
        <v>340</v>
      </c>
      <c r="K27" s="1">
        <f>$I$23</f>
        <v>375</v>
      </c>
      <c r="L27" s="1">
        <f>$I$23</f>
        <v>375</v>
      </c>
      <c r="M27">
        <f>$I$23-20</f>
        <v>355</v>
      </c>
      <c r="N27">
        <f t="shared" si="1"/>
        <v>245</v>
      </c>
      <c r="O27">
        <f t="shared" si="2"/>
        <v>220</v>
      </c>
    </row>
    <row r="28" spans="1:15" ht="14.25" x14ac:dyDescent="0.2">
      <c r="A28" t="s">
        <v>2</v>
      </c>
      <c r="B28">
        <v>0</v>
      </c>
      <c r="C28">
        <v>41</v>
      </c>
      <c r="D28">
        <v>41</v>
      </c>
      <c r="E28" s="1">
        <f>Lamb!C17</f>
        <v>0</v>
      </c>
      <c r="F28" s="198">
        <f t="shared" si="3"/>
        <v>41</v>
      </c>
      <c r="H28" s="2" t="s">
        <v>12</v>
      </c>
      <c r="I28">
        <f>$I$23-161</f>
        <v>214</v>
      </c>
      <c r="J28">
        <f>$I$23-60</f>
        <v>315</v>
      </c>
      <c r="K28">
        <f>$I$23-52</f>
        <v>323</v>
      </c>
      <c r="L28">
        <f>$I$23-52</f>
        <v>323</v>
      </c>
      <c r="M28">
        <f>$I$23-60</f>
        <v>315</v>
      </c>
      <c r="N28">
        <f t="shared" si="1"/>
        <v>245</v>
      </c>
      <c r="O28">
        <f t="shared" si="2"/>
        <v>220</v>
      </c>
    </row>
    <row r="29" spans="1:15" ht="14.25" x14ac:dyDescent="0.2">
      <c r="A29" t="s">
        <v>3</v>
      </c>
      <c r="B29">
        <v>68</v>
      </c>
      <c r="C29">
        <v>52</v>
      </c>
      <c r="D29">
        <v>52</v>
      </c>
      <c r="E29" s="1">
        <f>Lamb!C18</f>
        <v>0</v>
      </c>
      <c r="F29" s="198">
        <f t="shared" si="3"/>
        <v>52</v>
      </c>
      <c r="H29" s="2" t="s">
        <v>13</v>
      </c>
      <c r="I29" s="4" t="s">
        <v>11</v>
      </c>
      <c r="J29" s="4" t="s">
        <v>11</v>
      </c>
      <c r="K29" s="4" t="s">
        <v>11</v>
      </c>
      <c r="L29" s="4" t="s">
        <v>11</v>
      </c>
      <c r="M29" s="4" t="s">
        <v>11</v>
      </c>
      <c r="N29" s="4" t="s">
        <v>11</v>
      </c>
      <c r="O29" s="4" t="s">
        <v>11</v>
      </c>
    </row>
    <row r="30" spans="1:15" ht="14.25" x14ac:dyDescent="0.2">
      <c r="A30" t="s">
        <v>48</v>
      </c>
      <c r="B30">
        <v>140</v>
      </c>
      <c r="E30" s="1">
        <f>Lamb!C19</f>
        <v>0</v>
      </c>
      <c r="F30" s="198">
        <f>D30</f>
        <v>0</v>
      </c>
      <c r="H30" s="5"/>
      <c r="I30" s="14"/>
      <c r="J30" s="14"/>
      <c r="K30" s="14"/>
      <c r="L30" s="14"/>
      <c r="M30" s="14"/>
      <c r="N30" s="14"/>
      <c r="O30" s="14"/>
    </row>
    <row r="31" spans="1:15" x14ac:dyDescent="0.25">
      <c r="A31" t="s">
        <v>169</v>
      </c>
      <c r="B31">
        <v>50</v>
      </c>
      <c r="C31">
        <v>50</v>
      </c>
      <c r="D31">
        <v>0</v>
      </c>
      <c r="E31" s="1">
        <f>Lamb!C20</f>
        <v>0</v>
      </c>
      <c r="F31" s="198">
        <f>Lamb!C20</f>
        <v>0</v>
      </c>
      <c r="H31" s="352" t="s">
        <v>215</v>
      </c>
      <c r="I31" s="48">
        <v>1</v>
      </c>
      <c r="J31" s="48">
        <v>2</v>
      </c>
      <c r="K31" s="48" t="s">
        <v>5</v>
      </c>
      <c r="L31" s="44" t="s">
        <v>6</v>
      </c>
      <c r="M31" s="48" t="s">
        <v>7</v>
      </c>
      <c r="N31" s="48" t="s">
        <v>8</v>
      </c>
      <c r="O31" s="48">
        <v>5</v>
      </c>
    </row>
    <row r="32" spans="1:15" x14ac:dyDescent="0.25">
      <c r="A32" t="s">
        <v>4</v>
      </c>
      <c r="B32">
        <v>56</v>
      </c>
      <c r="C32">
        <v>85</v>
      </c>
      <c r="D32">
        <v>85</v>
      </c>
      <c r="E32" s="1">
        <f>Lamb!C21</f>
        <v>0</v>
      </c>
      <c r="F32" s="198">
        <f>D32</f>
        <v>85</v>
      </c>
      <c r="H32" s="2" t="s">
        <v>9</v>
      </c>
      <c r="I32">
        <f>I17-I25</f>
        <v>270.7</v>
      </c>
      <c r="J32">
        <f t="shared" ref="J32:O32" si="4">J17-J25</f>
        <v>143</v>
      </c>
      <c r="K32">
        <f t="shared" si="4"/>
        <v>96.399999999999977</v>
      </c>
      <c r="L32">
        <f t="shared" si="4"/>
        <v>79</v>
      </c>
      <c r="M32">
        <f t="shared" si="4"/>
        <v>104.5</v>
      </c>
      <c r="N32">
        <f t="shared" si="4"/>
        <v>212.10000000000002</v>
      </c>
      <c r="O32">
        <f t="shared" si="4"/>
        <v>205</v>
      </c>
    </row>
    <row r="33" spans="1:22" x14ac:dyDescent="0.25">
      <c r="A33" t="s">
        <v>171</v>
      </c>
      <c r="B33">
        <v>0</v>
      </c>
      <c r="E33" s="1">
        <f>Lamb!C22</f>
        <v>0</v>
      </c>
      <c r="F33" s="198">
        <f>Lamb!C22</f>
        <v>0</v>
      </c>
      <c r="H33" s="2" t="s">
        <v>10</v>
      </c>
      <c r="I33">
        <f t="shared" ref="I33:O36" si="5">I18-I26</f>
        <v>266.8</v>
      </c>
      <c r="J33">
        <f t="shared" si="5"/>
        <v>158.5</v>
      </c>
      <c r="K33">
        <f t="shared" si="5"/>
        <v>107.79999999999995</v>
      </c>
      <c r="L33">
        <f t="shared" si="5"/>
        <v>94.100000000000023</v>
      </c>
      <c r="M33">
        <f t="shared" si="5"/>
        <v>102.5</v>
      </c>
      <c r="N33">
        <f t="shared" si="5"/>
        <v>207.10000000000002</v>
      </c>
      <c r="O33">
        <f t="shared" si="5"/>
        <v>201</v>
      </c>
    </row>
    <row r="34" spans="1:22" x14ac:dyDescent="0.25">
      <c r="A34" s="198" t="s">
        <v>166</v>
      </c>
      <c r="B34" s="198"/>
      <c r="C34" s="198"/>
      <c r="D34" s="198"/>
      <c r="E34" s="1"/>
      <c r="F34" s="198">
        <f>IF(B5&gt;21.5,0,((B5*D9)*D6))</f>
        <v>485.45000000000005</v>
      </c>
      <c r="H34" s="2" t="s">
        <v>11</v>
      </c>
      <c r="I34">
        <f t="shared" si="5"/>
        <v>253.5</v>
      </c>
      <c r="J34">
        <f t="shared" si="5"/>
        <v>164.2</v>
      </c>
      <c r="K34">
        <f t="shared" si="5"/>
        <v>129.30000000000001</v>
      </c>
      <c r="L34">
        <f t="shared" si="5"/>
        <v>120.39999999999998</v>
      </c>
      <c r="M34">
        <f t="shared" si="5"/>
        <v>124.89999999999998</v>
      </c>
      <c r="N34">
        <f t="shared" si="5"/>
        <v>204.39999999999998</v>
      </c>
      <c r="O34">
        <f t="shared" si="5"/>
        <v>200.7</v>
      </c>
    </row>
    <row r="35" spans="1:22" x14ac:dyDescent="0.25">
      <c r="A35" s="73" t="s">
        <v>31</v>
      </c>
      <c r="B35">
        <f>B29+B31+B32</f>
        <v>174</v>
      </c>
      <c r="C35">
        <f t="shared" ref="C35:F35" si="6">SUM(C26:C34)</f>
        <v>288</v>
      </c>
      <c r="D35">
        <f t="shared" si="6"/>
        <v>238</v>
      </c>
      <c r="E35" s="1">
        <f t="shared" si="6"/>
        <v>0</v>
      </c>
      <c r="F35" s="198">
        <f t="shared" si="6"/>
        <v>723.45</v>
      </c>
      <c r="H35" s="2" t="s">
        <v>12</v>
      </c>
      <c r="I35">
        <f t="shared" si="5"/>
        <v>248.7</v>
      </c>
      <c r="J35">
        <f t="shared" si="5"/>
        <v>176.3</v>
      </c>
      <c r="K35">
        <f t="shared" si="5"/>
        <v>169.8</v>
      </c>
      <c r="L35">
        <f t="shared" si="5"/>
        <v>168.89999999999998</v>
      </c>
      <c r="M35">
        <f t="shared" si="5"/>
        <v>171.10000000000002</v>
      </c>
      <c r="N35">
        <f t="shared" si="5"/>
        <v>220</v>
      </c>
      <c r="O35">
        <f t="shared" si="5"/>
        <v>-220</v>
      </c>
    </row>
    <row r="36" spans="1:22" x14ac:dyDescent="0.25">
      <c r="A36" s="81" t="s">
        <v>30</v>
      </c>
      <c r="B36" s="6">
        <f>B35/Lamb!C9</f>
        <v>9.1578947368421044</v>
      </c>
      <c r="C36" s="6">
        <f>C35/Lamb!C9</f>
        <v>15.157894736842104</v>
      </c>
      <c r="D36" s="6">
        <f>D35/D7</f>
        <v>13.185595567867036</v>
      </c>
      <c r="E36" s="214">
        <f>E35/B5</f>
        <v>0</v>
      </c>
      <c r="F36" s="204">
        <f>F35/D7</f>
        <v>40.0803324099723</v>
      </c>
      <c r="G36" t="s">
        <v>26</v>
      </c>
      <c r="H36" s="2" t="s">
        <v>13</v>
      </c>
    </row>
    <row r="37" spans="1:22" x14ac:dyDescent="0.25">
      <c r="E37" s="1"/>
      <c r="F37" s="198"/>
    </row>
    <row r="38" spans="1:22" x14ac:dyDescent="0.25">
      <c r="A38" t="s">
        <v>35</v>
      </c>
      <c r="B38" s="15" t="s">
        <v>42</v>
      </c>
      <c r="D38" s="191"/>
      <c r="E38" s="1"/>
      <c r="F38" s="198"/>
      <c r="H38" t="s">
        <v>215</v>
      </c>
      <c r="I38" s="48">
        <v>1</v>
      </c>
      <c r="J38" s="48">
        <v>2</v>
      </c>
      <c r="K38" s="48" t="s">
        <v>5</v>
      </c>
      <c r="L38" s="44" t="s">
        <v>6</v>
      </c>
      <c r="M38" s="48" t="s">
        <v>7</v>
      </c>
      <c r="N38" s="48" t="s">
        <v>8</v>
      </c>
      <c r="O38" s="48">
        <v>5</v>
      </c>
    </row>
    <row r="39" spans="1:22" x14ac:dyDescent="0.25">
      <c r="A39" t="s">
        <v>36</v>
      </c>
      <c r="B39" s="15" t="s">
        <v>37</v>
      </c>
      <c r="E39" s="1"/>
      <c r="H39" s="2" t="s">
        <v>9</v>
      </c>
      <c r="I39" s="351">
        <f>I25/I17</f>
        <v>0.46470239272295827</v>
      </c>
      <c r="J39" s="351">
        <f>J25/J17</f>
        <v>0.72393822393822393</v>
      </c>
      <c r="K39" s="351">
        <f>K25/K17</f>
        <v>0.81332300542215341</v>
      </c>
      <c r="L39" s="351">
        <f>L25/L17</f>
        <v>0.84168336673346689</v>
      </c>
      <c r="M39" s="351">
        <f>M25/M17</f>
        <v>0.78206465067778941</v>
      </c>
      <c r="N39" s="351">
        <f>N25/N17</f>
        <v>0.53598774885145484</v>
      </c>
      <c r="O39" s="351">
        <f>O25/O17</f>
        <v>0.51764705882352946</v>
      </c>
      <c r="T39">
        <v>0.5</v>
      </c>
      <c r="U39">
        <v>20</v>
      </c>
      <c r="V39" s="50">
        <f>T39/U39</f>
        <v>2.5000000000000001E-2</v>
      </c>
    </row>
    <row r="40" spans="1:22" x14ac:dyDescent="0.25">
      <c r="A40" t="s">
        <v>38</v>
      </c>
      <c r="B40" s="15" t="s">
        <v>39</v>
      </c>
      <c r="D40" s="16"/>
      <c r="E40" s="1"/>
      <c r="H40" s="2" t="s">
        <v>10</v>
      </c>
      <c r="I40" s="351">
        <f>I26/I18</f>
        <v>0.46831406935033876</v>
      </c>
      <c r="J40" s="351">
        <f>J26/J18</f>
        <v>0.69133398247322297</v>
      </c>
      <c r="K40" s="351">
        <f>K26/K18</f>
        <v>0.78978159126365066</v>
      </c>
      <c r="L40" s="351">
        <f>L26/L18</f>
        <v>0.81146062913243833</v>
      </c>
      <c r="M40" s="351">
        <f>M26/M18</f>
        <v>0.78534031413612571</v>
      </c>
      <c r="N40" s="351">
        <f>N26/N18</f>
        <v>0.54191550541915501</v>
      </c>
      <c r="O40" s="351">
        <f>O26/O18</f>
        <v>0.5225653206650831</v>
      </c>
    </row>
    <row r="41" spans="1:22" x14ac:dyDescent="0.25">
      <c r="A41" t="s">
        <v>40</v>
      </c>
      <c r="B41" s="13" t="s">
        <v>41</v>
      </c>
      <c r="E41" s="1"/>
      <c r="H41" s="2" t="s">
        <v>11</v>
      </c>
      <c r="I41" s="351">
        <f>I27/I19</f>
        <v>0.48106448311156602</v>
      </c>
      <c r="J41" s="351">
        <f>J27/J19</f>
        <v>0.6743355811186037</v>
      </c>
      <c r="K41" s="351">
        <f>K27/K19</f>
        <v>0.74360499702558003</v>
      </c>
      <c r="L41" s="351">
        <f>L27/L19</f>
        <v>0.75696406943883732</v>
      </c>
      <c r="M41" s="351">
        <f>M27/M19</f>
        <v>0.73973744530110441</v>
      </c>
      <c r="N41" s="351">
        <f>N27/N19</f>
        <v>0.54517133956386299</v>
      </c>
      <c r="O41" s="351">
        <f>O27/O19</f>
        <v>0.52293796054195385</v>
      </c>
    </row>
    <row r="42" spans="1:22" x14ac:dyDescent="0.25">
      <c r="E42" s="192"/>
      <c r="H42" s="2" t="s">
        <v>12</v>
      </c>
      <c r="I42" s="351">
        <f>I28/I20</f>
        <v>0.46250270153447159</v>
      </c>
      <c r="J42" s="351">
        <f>J28/J20</f>
        <v>0.64115611642580905</v>
      </c>
      <c r="K42" s="351">
        <f>K28/K20</f>
        <v>0.65543831168831168</v>
      </c>
      <c r="L42" s="351">
        <f>L28/L20</f>
        <v>0.65663752795283592</v>
      </c>
      <c r="M42" s="351">
        <f>M28/M20</f>
        <v>0.64801481176712605</v>
      </c>
      <c r="N42" s="351">
        <f>N28/N20</f>
        <v>0.5268817204301075</v>
      </c>
      <c r="O42" s="351" t="e">
        <f>O28/O20</f>
        <v>#DIV/0!</v>
      </c>
    </row>
    <row r="43" spans="1:22" x14ac:dyDescent="0.25">
      <c r="A43" t="s">
        <v>93</v>
      </c>
      <c r="D43">
        <v>6.5</v>
      </c>
      <c r="H43" s="2" t="s">
        <v>13</v>
      </c>
      <c r="Q43" s="2"/>
      <c r="R43" s="48">
        <v>2</v>
      </c>
      <c r="S43" s="48" t="s">
        <v>5</v>
      </c>
      <c r="T43" s="48" t="s">
        <v>6</v>
      </c>
    </row>
    <row r="44" spans="1:22" ht="14.4" thickBot="1" x14ac:dyDescent="0.3">
      <c r="A44" t="s">
        <v>22</v>
      </c>
      <c r="B44">
        <v>22</v>
      </c>
      <c r="D44">
        <v>7</v>
      </c>
      <c r="Q44" s="48" t="s">
        <v>9</v>
      </c>
      <c r="R44" s="2"/>
      <c r="S44" s="2"/>
      <c r="T44" s="318"/>
    </row>
    <row r="45" spans="1:22" x14ac:dyDescent="0.25">
      <c r="A45" t="s">
        <v>23</v>
      </c>
      <c r="B45">
        <v>14.5</v>
      </c>
      <c r="C45">
        <v>20</v>
      </c>
      <c r="D45">
        <v>7.5</v>
      </c>
      <c r="H45" s="33" t="s">
        <v>54</v>
      </c>
      <c r="I45" s="34"/>
      <c r="J45" s="34"/>
      <c r="K45" s="34"/>
      <c r="L45" s="34"/>
      <c r="M45" s="34"/>
      <c r="N45" s="34"/>
      <c r="O45" s="35"/>
      <c r="Q45" s="48" t="s">
        <v>10</v>
      </c>
      <c r="R45" s="2"/>
      <c r="S45" s="2"/>
      <c r="T45" s="318"/>
    </row>
    <row r="46" spans="1:22" x14ac:dyDescent="0.25">
      <c r="A46" t="s">
        <v>23</v>
      </c>
      <c r="B46">
        <v>13</v>
      </c>
      <c r="C46">
        <v>35</v>
      </c>
      <c r="D46">
        <v>8</v>
      </c>
      <c r="H46" s="36" t="s">
        <v>53</v>
      </c>
      <c r="I46" s="317">
        <f>ROUNDDOWN(K46,0)</f>
        <v>501</v>
      </c>
      <c r="K46" s="5">
        <f>(O5+Q5+S3+S4)/4</f>
        <v>501.65</v>
      </c>
      <c r="L46" s="5"/>
      <c r="M46" s="5"/>
      <c r="N46" s="5"/>
      <c r="O46" s="37"/>
      <c r="Q46" s="48" t="s">
        <v>11</v>
      </c>
      <c r="R46" s="318"/>
      <c r="S46" s="318"/>
      <c r="T46" s="2"/>
    </row>
    <row r="47" spans="1:22" x14ac:dyDescent="0.25">
      <c r="A47" t="s">
        <v>46</v>
      </c>
      <c r="B47">
        <v>7</v>
      </c>
      <c r="D47">
        <v>8.5</v>
      </c>
      <c r="H47" s="36"/>
      <c r="I47" s="190"/>
      <c r="J47" s="5"/>
      <c r="K47" s="5"/>
      <c r="L47" s="5"/>
      <c r="M47" s="5"/>
      <c r="N47" s="5"/>
      <c r="O47" s="37"/>
    </row>
    <row r="48" spans="1:22" x14ac:dyDescent="0.25">
      <c r="D48">
        <v>9</v>
      </c>
      <c r="H48" s="52"/>
      <c r="I48" s="48">
        <v>1</v>
      </c>
      <c r="J48" s="48">
        <v>2</v>
      </c>
      <c r="K48" s="48" t="s">
        <v>5</v>
      </c>
      <c r="L48" s="48" t="s">
        <v>6</v>
      </c>
      <c r="M48" s="48" t="s">
        <v>7</v>
      </c>
      <c r="N48" s="48" t="s">
        <v>8</v>
      </c>
      <c r="O48" s="49">
        <v>5</v>
      </c>
    </row>
    <row r="49" spans="1:15" x14ac:dyDescent="0.25">
      <c r="A49" t="s">
        <v>90</v>
      </c>
      <c r="D49">
        <v>9.5</v>
      </c>
      <c r="H49" s="52" t="s">
        <v>9</v>
      </c>
      <c r="I49" s="48">
        <f>$I$46-30</f>
        <v>471</v>
      </c>
      <c r="J49" s="48">
        <f>$I$46+20</f>
        <v>521</v>
      </c>
      <c r="K49" s="48">
        <f>$I$46+20</f>
        <v>521</v>
      </c>
      <c r="L49" s="48">
        <f>$I$46</f>
        <v>501</v>
      </c>
      <c r="M49" s="48">
        <f>$I$46-15</f>
        <v>486</v>
      </c>
      <c r="N49" s="48">
        <f>$I$46-30</f>
        <v>471</v>
      </c>
      <c r="O49" s="49">
        <f>$I$46-60</f>
        <v>441</v>
      </c>
    </row>
    <row r="50" spans="1:15" x14ac:dyDescent="0.25">
      <c r="A50" t="s">
        <v>22</v>
      </c>
      <c r="B50">
        <v>21</v>
      </c>
      <c r="D50">
        <v>10</v>
      </c>
      <c r="H50" s="52" t="s">
        <v>10</v>
      </c>
      <c r="I50" s="48">
        <f>$I$46-30</f>
        <v>471</v>
      </c>
      <c r="J50" s="48">
        <f>$I$46+10</f>
        <v>511</v>
      </c>
      <c r="K50" s="48">
        <f>$I$46+10</f>
        <v>511</v>
      </c>
      <c r="L50" s="48">
        <f>$I$46</f>
        <v>501</v>
      </c>
      <c r="M50" s="48">
        <f>$I$46-15</f>
        <v>486</v>
      </c>
      <c r="N50" s="48">
        <f>$I$46-30</f>
        <v>471</v>
      </c>
      <c r="O50" s="49">
        <f>$I$46-60</f>
        <v>441</v>
      </c>
    </row>
    <row r="51" spans="1:15" x14ac:dyDescent="0.25">
      <c r="A51" t="s">
        <v>23</v>
      </c>
      <c r="B51">
        <v>15</v>
      </c>
      <c r="D51">
        <v>10.5</v>
      </c>
      <c r="H51" s="52" t="s">
        <v>11</v>
      </c>
      <c r="I51" s="48">
        <f>$I$46-50</f>
        <v>451</v>
      </c>
      <c r="J51" s="48">
        <f>$I$46</f>
        <v>501</v>
      </c>
      <c r="K51" s="48">
        <f>$I$46</f>
        <v>501</v>
      </c>
      <c r="L51" s="48">
        <f>$I$46-4</f>
        <v>497</v>
      </c>
      <c r="M51" s="48">
        <f>$I$46-20</f>
        <v>481</v>
      </c>
      <c r="N51" s="48">
        <f>$I$46-40</f>
        <v>461</v>
      </c>
      <c r="O51" s="49">
        <f>$I$46-60</f>
        <v>441</v>
      </c>
    </row>
    <row r="52" spans="1:15" x14ac:dyDescent="0.25">
      <c r="A52" t="s">
        <v>24</v>
      </c>
      <c r="D52">
        <v>11</v>
      </c>
      <c r="H52" s="52" t="s">
        <v>12</v>
      </c>
      <c r="I52" s="48">
        <f>$I$46-75</f>
        <v>426</v>
      </c>
      <c r="J52" s="48">
        <f>$I$46-10</f>
        <v>491</v>
      </c>
      <c r="K52" s="48">
        <f>$I$46-5</f>
        <v>496</v>
      </c>
      <c r="L52" s="48">
        <f>$I$46-15</f>
        <v>486</v>
      </c>
      <c r="M52" s="48">
        <f>$I$46-50</f>
        <v>451</v>
      </c>
      <c r="N52" s="48">
        <f>$I$46-60</f>
        <v>441</v>
      </c>
      <c r="O52" s="49">
        <f>$I$46-60</f>
        <v>441</v>
      </c>
    </row>
    <row r="53" spans="1:15" x14ac:dyDescent="0.25">
      <c r="A53" t="s">
        <v>23</v>
      </c>
      <c r="D53">
        <v>11.5</v>
      </c>
      <c r="H53" s="52" t="s">
        <v>13</v>
      </c>
      <c r="I53" s="48" t="s">
        <v>11</v>
      </c>
      <c r="J53" s="48" t="s">
        <v>11</v>
      </c>
      <c r="K53" s="48" t="s">
        <v>11</v>
      </c>
      <c r="L53" s="48" t="s">
        <v>11</v>
      </c>
      <c r="M53" s="48" t="s">
        <v>11</v>
      </c>
      <c r="N53" s="48" t="s">
        <v>11</v>
      </c>
      <c r="O53" s="49" t="s">
        <v>11</v>
      </c>
    </row>
    <row r="54" spans="1:15" x14ac:dyDescent="0.25">
      <c r="A54" t="s">
        <v>24</v>
      </c>
      <c r="D54">
        <v>12</v>
      </c>
      <c r="H54" s="36"/>
      <c r="I54" s="5"/>
      <c r="J54" s="5"/>
      <c r="K54" s="5"/>
      <c r="L54" s="5"/>
      <c r="M54" s="5"/>
      <c r="N54" s="5"/>
      <c r="O54" s="37"/>
    </row>
    <row r="55" spans="1:15" x14ac:dyDescent="0.25">
      <c r="A55" t="s">
        <v>46</v>
      </c>
      <c r="D55">
        <v>12.5</v>
      </c>
      <c r="H55" s="52"/>
      <c r="I55" s="48">
        <v>1</v>
      </c>
      <c r="J55" s="48">
        <v>2</v>
      </c>
      <c r="K55" s="48" t="s">
        <v>5</v>
      </c>
      <c r="L55" s="48" t="s">
        <v>6</v>
      </c>
      <c r="M55" s="48" t="s">
        <v>7</v>
      </c>
      <c r="N55" s="48" t="s">
        <v>8</v>
      </c>
      <c r="O55" s="49">
        <v>5</v>
      </c>
    </row>
    <row r="56" spans="1:15" x14ac:dyDescent="0.25">
      <c r="D56">
        <v>13</v>
      </c>
      <c r="H56" s="52" t="s">
        <v>9</v>
      </c>
      <c r="I56" s="48">
        <v>-30</v>
      </c>
      <c r="J56" s="48">
        <v>20</v>
      </c>
      <c r="K56" s="48">
        <v>20</v>
      </c>
      <c r="L56" s="48"/>
      <c r="M56" s="48">
        <v>-15</v>
      </c>
      <c r="N56" s="48">
        <v>-30</v>
      </c>
      <c r="O56" s="49">
        <v>-60</v>
      </c>
    </row>
    <row r="57" spans="1:15" x14ac:dyDescent="0.25">
      <c r="D57">
        <v>13.5</v>
      </c>
      <c r="H57" s="52" t="s">
        <v>10</v>
      </c>
      <c r="I57" s="48">
        <v>-30</v>
      </c>
      <c r="J57" s="48">
        <v>10</v>
      </c>
      <c r="K57" s="48">
        <v>10</v>
      </c>
      <c r="L57" s="48"/>
      <c r="M57" s="48">
        <v>-15</v>
      </c>
      <c r="N57" s="48">
        <v>-30</v>
      </c>
      <c r="O57" s="49">
        <v>-60</v>
      </c>
    </row>
    <row r="58" spans="1:15" x14ac:dyDescent="0.25">
      <c r="D58">
        <v>14</v>
      </c>
      <c r="H58" s="52" t="s">
        <v>11</v>
      </c>
      <c r="I58" s="48">
        <v>-50</v>
      </c>
      <c r="J58" s="48"/>
      <c r="K58" s="48"/>
      <c r="L58" s="48">
        <v>-4</v>
      </c>
      <c r="M58" s="48">
        <v>-20</v>
      </c>
      <c r="N58" s="48">
        <v>-40</v>
      </c>
      <c r="O58" s="49">
        <v>-60</v>
      </c>
    </row>
    <row r="59" spans="1:15" x14ac:dyDescent="0.25">
      <c r="D59">
        <v>14.5</v>
      </c>
      <c r="H59" s="52" t="s">
        <v>12</v>
      </c>
      <c r="I59" s="48">
        <v>-75</v>
      </c>
      <c r="J59" s="48">
        <v>-10</v>
      </c>
      <c r="K59" s="48">
        <v>-5</v>
      </c>
      <c r="L59" s="48">
        <v>-15</v>
      </c>
      <c r="M59" s="22">
        <v>-50</v>
      </c>
      <c r="N59" s="48">
        <v>-60</v>
      </c>
      <c r="O59" s="49">
        <v>-60</v>
      </c>
    </row>
    <row r="60" spans="1:15" ht="14.4" thickBot="1" x14ac:dyDescent="0.3">
      <c r="D60">
        <v>15</v>
      </c>
      <c r="H60" s="53" t="s">
        <v>13</v>
      </c>
      <c r="I60" s="54" t="s">
        <v>11</v>
      </c>
      <c r="J60" s="54" t="s">
        <v>11</v>
      </c>
      <c r="K60" s="54" t="s">
        <v>11</v>
      </c>
      <c r="L60" s="54" t="s">
        <v>11</v>
      </c>
      <c r="M60" s="54" t="s">
        <v>11</v>
      </c>
      <c r="N60" s="54" t="s">
        <v>11</v>
      </c>
      <c r="O60" s="55" t="s">
        <v>11</v>
      </c>
    </row>
    <row r="61" spans="1:15" x14ac:dyDescent="0.25">
      <c r="D61">
        <v>15.5</v>
      </c>
    </row>
    <row r="62" spans="1:15" x14ac:dyDescent="0.25">
      <c r="D62">
        <v>16</v>
      </c>
    </row>
    <row r="63" spans="1:15" x14ac:dyDescent="0.25">
      <c r="D63">
        <v>16.5</v>
      </c>
    </row>
    <row r="64" spans="1:15" x14ac:dyDescent="0.25">
      <c r="D64">
        <v>17</v>
      </c>
    </row>
    <row r="65" spans="4:4" x14ac:dyDescent="0.25">
      <c r="D65">
        <v>17.5</v>
      </c>
    </row>
    <row r="66" spans="4:4" x14ac:dyDescent="0.25">
      <c r="D66">
        <v>18</v>
      </c>
    </row>
    <row r="67" spans="4:4" x14ac:dyDescent="0.25">
      <c r="D67">
        <v>18.5</v>
      </c>
    </row>
    <row r="68" spans="4:4" x14ac:dyDescent="0.25">
      <c r="D68">
        <v>19</v>
      </c>
    </row>
    <row r="69" spans="4:4" x14ac:dyDescent="0.25">
      <c r="D69">
        <v>19.5</v>
      </c>
    </row>
    <row r="70" spans="4:4" x14ac:dyDescent="0.25">
      <c r="D70">
        <v>20</v>
      </c>
    </row>
    <row r="71" spans="4:4" x14ac:dyDescent="0.25">
      <c r="D71">
        <v>20.5</v>
      </c>
    </row>
    <row r="72" spans="4:4" x14ac:dyDescent="0.25">
      <c r="D72">
        <v>21</v>
      </c>
    </row>
    <row r="73" spans="4:4" x14ac:dyDescent="0.25">
      <c r="D73">
        <v>21.5</v>
      </c>
    </row>
    <row r="74" spans="4:4" x14ac:dyDescent="0.25">
      <c r="D74">
        <v>22</v>
      </c>
    </row>
    <row r="75" spans="4:4" x14ac:dyDescent="0.25">
      <c r="D75">
        <v>22.5</v>
      </c>
    </row>
    <row r="76" spans="4:4" x14ac:dyDescent="0.25">
      <c r="D76">
        <v>23</v>
      </c>
    </row>
    <row r="77" spans="4:4" x14ac:dyDescent="0.25">
      <c r="D77">
        <v>23.5</v>
      </c>
    </row>
    <row r="78" spans="4:4" x14ac:dyDescent="0.25">
      <c r="D78">
        <v>24</v>
      </c>
    </row>
    <row r="79" spans="4:4" x14ac:dyDescent="0.25">
      <c r="D79">
        <v>24.5</v>
      </c>
    </row>
    <row r="80" spans="4:4" x14ac:dyDescent="0.25">
      <c r="D80">
        <v>25</v>
      </c>
    </row>
    <row r="81" spans="4:4" x14ac:dyDescent="0.25">
      <c r="D81">
        <v>25.5</v>
      </c>
    </row>
    <row r="82" spans="4:4" x14ac:dyDescent="0.25">
      <c r="D82">
        <v>26</v>
      </c>
    </row>
  </sheetData>
  <mergeCells count="3">
    <mergeCell ref="X1:Y1"/>
    <mergeCell ref="V1:W1"/>
    <mergeCell ref="K1:T1"/>
  </mergeCells>
  <conditionalFormatting sqref="K10">
    <cfRule type="cellIs" dxfId="7" priority="3" operator="lessThan">
      <formula>0</formula>
    </cfRule>
  </conditionalFormatting>
  <conditionalFormatting sqref="L10">
    <cfRule type="cellIs" dxfId="6" priority="1" operator="greaterThan">
      <formula>0</formula>
    </cfRule>
    <cfRule type="cellIs" dxfId="5" priority="2" operator="greaterThan">
      <formula>0</formula>
    </cfRule>
  </conditionalFormatting>
  <hyperlinks>
    <hyperlink ref="K1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O75"/>
  <sheetViews>
    <sheetView workbookViewId="0">
      <selection activeCell="E8" sqref="E8"/>
    </sheetView>
  </sheetViews>
  <sheetFormatPr defaultColWidth="9" defaultRowHeight="13.8" x14ac:dyDescent="0.25"/>
  <cols>
    <col min="1" max="2" width="9" style="64"/>
    <col min="3" max="3" width="9.5" style="64" customWidth="1"/>
    <col min="4" max="6" width="9.19921875" style="64" bestFit="1" customWidth="1"/>
    <col min="7" max="7" width="9" style="64" customWidth="1"/>
    <col min="8" max="8" width="11.09765625" style="64" bestFit="1" customWidth="1"/>
    <col min="9" max="9" width="13" style="64" customWidth="1"/>
    <col min="10" max="10" width="11.09765625" style="64" customWidth="1"/>
    <col min="11" max="16384" width="9" style="64"/>
  </cols>
  <sheetData>
    <row r="1" spans="1:13" ht="14.25" x14ac:dyDescent="0.2">
      <c r="A1" s="89"/>
      <c r="B1" s="119" t="s">
        <v>157</v>
      </c>
      <c r="C1" s="111"/>
      <c r="D1" s="111"/>
      <c r="E1" s="111"/>
      <c r="F1" s="110"/>
      <c r="G1" s="110"/>
      <c r="H1" s="110"/>
      <c r="I1" s="110"/>
      <c r="J1" s="110"/>
      <c r="K1" s="89"/>
    </row>
    <row r="2" spans="1:13" ht="14.25" x14ac:dyDescent="0.2">
      <c r="A2" s="89"/>
      <c r="B2" s="89"/>
      <c r="C2" s="89"/>
      <c r="D2" s="89"/>
      <c r="E2" s="89"/>
      <c r="F2" s="110"/>
      <c r="G2" s="110"/>
      <c r="H2" s="110"/>
      <c r="I2" s="110"/>
      <c r="J2" s="110"/>
      <c r="K2" s="89"/>
    </row>
    <row r="3" spans="1:13" ht="14.25" x14ac:dyDescent="0.2">
      <c r="A3" s="89"/>
      <c r="B3" s="142" t="s">
        <v>153</v>
      </c>
      <c r="C3" s="143"/>
      <c r="D3" s="143"/>
      <c r="E3" s="143"/>
      <c r="F3" s="143"/>
      <c r="G3" s="110"/>
      <c r="H3" s="110"/>
      <c r="I3" s="110"/>
      <c r="J3" s="110"/>
      <c r="K3" s="89"/>
    </row>
    <row r="4" spans="1:13" ht="14.25" x14ac:dyDescent="0.2">
      <c r="A4" s="89"/>
      <c r="B4" s="89"/>
      <c r="C4" s="89"/>
      <c r="D4" s="89"/>
      <c r="E4" s="89"/>
      <c r="F4" s="110"/>
      <c r="G4" s="110"/>
      <c r="H4" s="110"/>
      <c r="I4" s="110"/>
      <c r="J4" s="110"/>
      <c r="K4" s="89"/>
    </row>
    <row r="5" spans="1:13" ht="14.25" x14ac:dyDescent="0.2">
      <c r="A5" s="89"/>
      <c r="B5" s="89"/>
      <c r="C5" s="89"/>
      <c r="D5" s="89"/>
      <c r="E5" s="144" t="s">
        <v>102</v>
      </c>
      <c r="F5" s="110"/>
      <c r="G5" s="110"/>
      <c r="H5" s="110"/>
      <c r="I5" s="110"/>
      <c r="J5" s="110"/>
      <c r="K5" s="89"/>
    </row>
    <row r="6" spans="1:13" ht="14.25" x14ac:dyDescent="0.2">
      <c r="A6" s="89"/>
      <c r="B6" s="340" t="s">
        <v>103</v>
      </c>
      <c r="C6" s="341"/>
      <c r="D6" s="342"/>
      <c r="E6" s="145">
        <v>300</v>
      </c>
      <c r="F6" s="110"/>
      <c r="G6" s="110"/>
      <c r="H6" s="110"/>
      <c r="I6" s="110"/>
      <c r="J6" s="110"/>
      <c r="K6" s="89"/>
    </row>
    <row r="7" spans="1:13" ht="14.25" x14ac:dyDescent="0.2">
      <c r="A7" s="89"/>
      <c r="B7" s="340" t="s">
        <v>104</v>
      </c>
      <c r="C7" s="341"/>
      <c r="D7" s="342"/>
      <c r="E7" s="146">
        <v>1.75</v>
      </c>
      <c r="F7" s="110"/>
      <c r="G7" s="283">
        <f>E7/E9</f>
        <v>3.6842105263157898</v>
      </c>
      <c r="H7" s="284" t="s">
        <v>207</v>
      </c>
      <c r="I7" s="110"/>
      <c r="J7" s="110"/>
      <c r="K7" s="89"/>
    </row>
    <row r="8" spans="1:13" ht="14.25" x14ac:dyDescent="0.2">
      <c r="A8" s="89"/>
      <c r="B8" s="337" t="s">
        <v>203</v>
      </c>
      <c r="C8" s="338"/>
      <c r="D8" s="339"/>
      <c r="E8" s="147">
        <v>38</v>
      </c>
      <c r="F8" s="110"/>
      <c r="G8" s="110"/>
      <c r="H8" s="110"/>
      <c r="I8" s="110"/>
      <c r="J8" s="110"/>
      <c r="K8" s="89"/>
    </row>
    <row r="9" spans="1:13" ht="14.25" x14ac:dyDescent="0.2">
      <c r="A9" s="89"/>
      <c r="B9" s="337" t="s">
        <v>106</v>
      </c>
      <c r="C9" s="338"/>
      <c r="D9" s="339"/>
      <c r="E9" s="148">
        <v>0.47499999999999998</v>
      </c>
      <c r="F9" s="110"/>
      <c r="G9" s="110"/>
      <c r="H9" s="110"/>
      <c r="I9" s="110"/>
      <c r="J9" s="110"/>
      <c r="K9" s="89"/>
      <c r="M9" s="80"/>
    </row>
    <row r="10" spans="1:13" ht="14.25" x14ac:dyDescent="0.2">
      <c r="A10" s="89"/>
      <c r="B10" s="337" t="s">
        <v>107</v>
      </c>
      <c r="C10" s="338"/>
      <c r="D10" s="339"/>
      <c r="E10" s="146">
        <v>60</v>
      </c>
      <c r="F10" s="110"/>
      <c r="G10" s="110"/>
      <c r="H10" s="110"/>
      <c r="I10" s="110"/>
      <c r="J10" s="110"/>
      <c r="K10" s="89"/>
    </row>
    <row r="11" spans="1:13" ht="14.25" x14ac:dyDescent="0.2">
      <c r="A11" s="89"/>
      <c r="B11" s="337" t="s">
        <v>108</v>
      </c>
      <c r="C11" s="338"/>
      <c r="D11" s="339"/>
      <c r="E11" s="146">
        <v>2333</v>
      </c>
      <c r="F11" s="110"/>
      <c r="G11" s="110"/>
      <c r="H11" s="110"/>
      <c r="I11" s="110"/>
      <c r="J11" s="110"/>
      <c r="K11" s="89"/>
    </row>
    <row r="12" spans="1:13" ht="14.25" x14ac:dyDescent="0.2">
      <c r="A12" s="89"/>
      <c r="B12" s="337" t="s">
        <v>109</v>
      </c>
      <c r="C12" s="338"/>
      <c r="D12" s="339"/>
      <c r="E12" s="146">
        <v>800</v>
      </c>
      <c r="F12" s="110"/>
      <c r="G12" s="110"/>
      <c r="H12" s="110"/>
      <c r="I12" s="110"/>
      <c r="J12" s="110"/>
      <c r="K12" s="89"/>
    </row>
    <row r="13" spans="1:13" ht="14.25" x14ac:dyDescent="0.2">
      <c r="A13" s="89"/>
      <c r="B13" s="337" t="s">
        <v>138</v>
      </c>
      <c r="C13" s="338"/>
      <c r="D13" s="339"/>
      <c r="E13" s="146">
        <v>360</v>
      </c>
      <c r="F13" s="110"/>
      <c r="G13" s="110"/>
      <c r="H13" s="110"/>
      <c r="I13" s="110"/>
      <c r="J13" s="110"/>
      <c r="K13" s="89"/>
    </row>
    <row r="14" spans="1:13" ht="14.25" x14ac:dyDescent="0.2">
      <c r="A14" s="89"/>
      <c r="B14" s="340" t="s">
        <v>111</v>
      </c>
      <c r="C14" s="341"/>
      <c r="D14" s="342"/>
      <c r="E14" s="146">
        <v>0.8</v>
      </c>
      <c r="F14" s="110"/>
      <c r="G14" s="110"/>
      <c r="H14" s="110"/>
      <c r="I14" s="110"/>
      <c r="J14" s="110"/>
      <c r="K14" s="89"/>
    </row>
    <row r="15" spans="1:13" ht="14.25" x14ac:dyDescent="0.2">
      <c r="A15" s="89"/>
      <c r="B15" s="337" t="s">
        <v>200</v>
      </c>
      <c r="C15" s="338"/>
      <c r="D15" s="339"/>
      <c r="E15" s="146">
        <v>0.98</v>
      </c>
      <c r="F15" s="110"/>
      <c r="G15" s="110"/>
      <c r="H15" s="110"/>
      <c r="I15" s="110"/>
      <c r="J15" s="110"/>
      <c r="K15" s="89"/>
    </row>
    <row r="16" spans="1:13" ht="14.25" x14ac:dyDescent="0.2">
      <c r="A16" s="89"/>
      <c r="B16" s="337" t="s">
        <v>113</v>
      </c>
      <c r="C16" s="338"/>
      <c r="D16" s="339"/>
      <c r="E16" s="149">
        <v>3.95E-2</v>
      </c>
      <c r="F16" s="110"/>
      <c r="G16" s="110"/>
      <c r="H16" s="110"/>
      <c r="I16" s="110"/>
      <c r="J16" s="110"/>
      <c r="K16" s="89"/>
    </row>
    <row r="17" spans="1:11" ht="14.25" x14ac:dyDescent="0.2">
      <c r="A17" s="89"/>
      <c r="B17" s="277" t="s">
        <v>202</v>
      </c>
      <c r="C17" s="278"/>
      <c r="D17" s="279"/>
      <c r="E17" s="280">
        <v>0.13</v>
      </c>
      <c r="F17" s="110"/>
      <c r="G17" s="110"/>
      <c r="H17" s="110"/>
      <c r="I17" s="110"/>
      <c r="J17" s="110"/>
      <c r="K17" s="89"/>
    </row>
    <row r="18" spans="1:11" x14ac:dyDescent="0.25">
      <c r="A18" s="89"/>
      <c r="B18" s="337" t="s">
        <v>159</v>
      </c>
      <c r="C18" s="338"/>
      <c r="D18" s="339"/>
      <c r="E18" s="146">
        <v>0.1</v>
      </c>
      <c r="F18" s="110"/>
      <c r="G18" s="110"/>
      <c r="H18" s="110"/>
      <c r="I18" s="110"/>
      <c r="J18" s="110"/>
      <c r="K18" s="89"/>
    </row>
    <row r="19" spans="1:11" ht="14.25" x14ac:dyDescent="0.2">
      <c r="A19" s="89"/>
      <c r="B19" s="89"/>
      <c r="C19" s="89"/>
      <c r="D19" s="89"/>
      <c r="E19" s="89"/>
      <c r="F19" s="110"/>
      <c r="G19" s="110"/>
      <c r="H19" s="110"/>
      <c r="I19" s="110"/>
      <c r="J19" s="110"/>
      <c r="K19" s="89"/>
    </row>
    <row r="20" spans="1:11" ht="14.25" x14ac:dyDescent="0.2">
      <c r="A20" s="89"/>
      <c r="B20" s="111" t="s">
        <v>115</v>
      </c>
      <c r="C20" s="111"/>
      <c r="D20" s="89"/>
      <c r="E20" s="89"/>
      <c r="F20" s="110"/>
      <c r="G20" s="110"/>
      <c r="H20" s="110"/>
      <c r="I20" s="110"/>
      <c r="J20" s="110"/>
      <c r="K20" s="89"/>
    </row>
    <row r="21" spans="1:11" ht="14.25" x14ac:dyDescent="0.2">
      <c r="A21" s="89"/>
      <c r="B21" s="89"/>
      <c r="C21" s="89"/>
      <c r="D21" s="89"/>
      <c r="E21" s="89"/>
      <c r="F21" s="89"/>
      <c r="G21" s="89"/>
      <c r="H21" s="112" t="s">
        <v>118</v>
      </c>
      <c r="I21" s="112" t="s">
        <v>118</v>
      </c>
      <c r="J21" s="113" t="s">
        <v>116</v>
      </c>
      <c r="K21" s="89"/>
    </row>
    <row r="22" spans="1:11" ht="14.25" x14ac:dyDescent="0.2">
      <c r="A22" s="89"/>
      <c r="B22" s="111" t="s">
        <v>103</v>
      </c>
      <c r="C22" s="111"/>
      <c r="D22" s="89"/>
      <c r="E22" s="89"/>
      <c r="F22" s="89"/>
      <c r="G22" s="89"/>
      <c r="H22" s="114">
        <v>300</v>
      </c>
      <c r="I22" s="114">
        <v>600</v>
      </c>
      <c r="J22" s="115">
        <f>E6</f>
        <v>300</v>
      </c>
      <c r="K22" s="89"/>
    </row>
    <row r="23" spans="1:11" ht="14.25" x14ac:dyDescent="0.2">
      <c r="A23" s="89"/>
      <c r="B23" s="116" t="s">
        <v>104</v>
      </c>
      <c r="C23" s="111"/>
      <c r="D23" s="89"/>
      <c r="E23" s="89"/>
      <c r="F23" s="89"/>
      <c r="G23" s="89"/>
      <c r="H23" s="117">
        <v>3.33</v>
      </c>
      <c r="I23" s="117">
        <v>3.33</v>
      </c>
      <c r="J23" s="118">
        <f>E7</f>
        <v>1.75</v>
      </c>
      <c r="K23" s="89"/>
    </row>
    <row r="24" spans="1:11" ht="14.25" x14ac:dyDescent="0.2">
      <c r="A24" s="89"/>
      <c r="B24" s="116" t="s">
        <v>107</v>
      </c>
      <c r="C24" s="111"/>
      <c r="D24" s="89"/>
      <c r="E24" s="89"/>
      <c r="F24" s="89"/>
      <c r="G24" s="89"/>
      <c r="H24" s="219">
        <v>60</v>
      </c>
      <c r="I24" s="219">
        <v>90</v>
      </c>
      <c r="J24" s="118">
        <f>E10</f>
        <v>60</v>
      </c>
      <c r="K24" s="89"/>
    </row>
    <row r="25" spans="1:11" ht="14.25" x14ac:dyDescent="0.2">
      <c r="A25" s="89"/>
      <c r="B25" s="116" t="s">
        <v>162</v>
      </c>
      <c r="C25" s="111"/>
      <c r="D25" s="89"/>
      <c r="E25" s="89"/>
      <c r="F25" s="89"/>
      <c r="G25" s="89"/>
      <c r="H25" s="120">
        <v>2333</v>
      </c>
      <c r="I25" s="120">
        <v>2333</v>
      </c>
      <c r="J25" s="118">
        <f>E11</f>
        <v>2333</v>
      </c>
      <c r="K25" s="89"/>
    </row>
    <row r="26" spans="1:11" ht="14.25" x14ac:dyDescent="0.2">
      <c r="A26" s="89"/>
      <c r="B26" s="116" t="s">
        <v>163</v>
      </c>
      <c r="C26" s="111"/>
      <c r="D26" s="89"/>
      <c r="E26" s="89"/>
      <c r="F26" s="89"/>
      <c r="G26" s="89"/>
      <c r="H26" s="120">
        <v>800</v>
      </c>
      <c r="I26" s="120">
        <v>800</v>
      </c>
      <c r="J26" s="118">
        <f>E12</f>
        <v>800</v>
      </c>
      <c r="K26" s="89"/>
    </row>
    <row r="27" spans="1:11" x14ac:dyDescent="0.25">
      <c r="A27" s="89"/>
      <c r="B27" s="89"/>
      <c r="C27" s="89"/>
      <c r="D27" s="89"/>
      <c r="E27" s="89"/>
      <c r="F27" s="121" t="s">
        <v>122</v>
      </c>
      <c r="G27" s="89"/>
      <c r="H27" s="89"/>
      <c r="I27" s="89"/>
      <c r="J27" s="89"/>
      <c r="K27" s="89"/>
    </row>
    <row r="28" spans="1:11" ht="14.25" x14ac:dyDescent="0.2">
      <c r="A28" s="89"/>
      <c r="B28" s="116" t="s">
        <v>123</v>
      </c>
      <c r="C28" s="111"/>
      <c r="D28" s="111"/>
      <c r="E28" s="89"/>
      <c r="F28" s="122">
        <v>120</v>
      </c>
      <c r="G28" s="121" t="s">
        <v>124</v>
      </c>
      <c r="H28" s="123">
        <v>3</v>
      </c>
      <c r="I28" s="123">
        <v>6</v>
      </c>
      <c r="J28" s="124"/>
      <c r="K28" s="89"/>
    </row>
    <row r="29" spans="1:11" ht="14.25" x14ac:dyDescent="0.2">
      <c r="A29" s="89"/>
      <c r="B29" s="89"/>
      <c r="C29" s="89"/>
      <c r="D29" s="89"/>
      <c r="E29" s="89"/>
      <c r="F29" s="89"/>
      <c r="G29" s="89"/>
      <c r="H29" s="125">
        <f>$F$28*H28</f>
        <v>360</v>
      </c>
      <c r="I29" s="125">
        <f>$F$28*I28</f>
        <v>720</v>
      </c>
      <c r="J29" s="126">
        <f>E13</f>
        <v>360</v>
      </c>
      <c r="K29" s="89"/>
    </row>
    <row r="30" spans="1:11" ht="14.25" x14ac:dyDescent="0.2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4.25" x14ac:dyDescent="0.2">
      <c r="A31" s="89"/>
      <c r="B31" s="89"/>
      <c r="C31" s="89"/>
      <c r="D31" s="89"/>
      <c r="E31" s="89"/>
      <c r="F31" s="189" t="s">
        <v>129</v>
      </c>
      <c r="G31" s="90"/>
      <c r="H31" s="125">
        <f>H24+H25+H26+H29</f>
        <v>3553</v>
      </c>
      <c r="I31" s="125">
        <f t="shared" ref="I31:J31" si="0">I24+I25+I26+I29</f>
        <v>3943</v>
      </c>
      <c r="J31" s="125">
        <f t="shared" si="0"/>
        <v>3553</v>
      </c>
      <c r="K31" s="89"/>
    </row>
    <row r="32" spans="1:11" x14ac:dyDescent="0.2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</row>
    <row r="33" spans="1:11" x14ac:dyDescent="0.25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</row>
    <row r="34" spans="1:11" x14ac:dyDescent="0.25">
      <c r="A34" s="89"/>
      <c r="B34" s="119" t="s">
        <v>158</v>
      </c>
      <c r="C34" s="111"/>
      <c r="D34" s="111"/>
      <c r="E34" s="90"/>
      <c r="F34" s="90"/>
      <c r="G34" s="90"/>
      <c r="H34" s="125">
        <f>H31/H22</f>
        <v>11.843333333333334</v>
      </c>
      <c r="I34" s="125">
        <f>I31/I22</f>
        <v>6.5716666666666663</v>
      </c>
      <c r="J34" s="126">
        <f>IF(J22=0, " ", J31/J22)</f>
        <v>11.843333333333334</v>
      </c>
      <c r="K34" s="89"/>
    </row>
    <row r="35" spans="1:11" x14ac:dyDescent="0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x14ac:dyDescent="0.2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x14ac:dyDescent="0.25">
      <c r="A37" s="89"/>
      <c r="B37" s="119" t="s">
        <v>126</v>
      </c>
      <c r="C37" s="111"/>
      <c r="D37" s="111"/>
      <c r="E37" s="90"/>
      <c r="F37" s="127">
        <f>E8*E9</f>
        <v>18.05</v>
      </c>
      <c r="G37" s="128" t="s">
        <v>204</v>
      </c>
      <c r="H37" s="129">
        <f>H34/$F$37</f>
        <v>0.65614035087719302</v>
      </c>
      <c r="I37" s="129">
        <f>I34/$F$37</f>
        <v>0.36408125577100642</v>
      </c>
      <c r="J37" s="130">
        <f>IF($J$22=0," ",$J$34/F37)</f>
        <v>0.65614035087719302</v>
      </c>
      <c r="K37" s="89"/>
    </row>
    <row r="38" spans="1:11" x14ac:dyDescent="0.2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x14ac:dyDescent="0.25">
      <c r="A39" s="89"/>
      <c r="B39" s="119" t="s">
        <v>127</v>
      </c>
      <c r="C39" s="111"/>
      <c r="D39" s="89"/>
      <c r="E39" s="89"/>
      <c r="F39" s="89"/>
      <c r="G39" s="89"/>
      <c r="H39" s="89"/>
      <c r="I39" s="89"/>
      <c r="J39" s="89"/>
      <c r="K39" s="89"/>
    </row>
    <row r="40" spans="1:11" x14ac:dyDescent="0.25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x14ac:dyDescent="0.25">
      <c r="A41" s="89"/>
      <c r="B41" s="116" t="s">
        <v>111</v>
      </c>
      <c r="C41" s="111"/>
      <c r="D41" s="122">
        <v>0.6</v>
      </c>
      <c r="E41" s="89"/>
      <c r="F41" s="89"/>
      <c r="G41" s="89"/>
      <c r="H41" s="120">
        <f>H$22*$D$41</f>
        <v>180</v>
      </c>
      <c r="I41" s="120">
        <f>I$22*$D$41</f>
        <v>360</v>
      </c>
      <c r="J41" s="118">
        <f>J22*E14</f>
        <v>240</v>
      </c>
      <c r="K41" s="89"/>
    </row>
    <row r="42" spans="1:11" x14ac:dyDescent="0.25">
      <c r="A42" s="89"/>
      <c r="B42" s="116" t="s">
        <v>128</v>
      </c>
      <c r="C42" s="111"/>
      <c r="D42" s="122">
        <v>0.98</v>
      </c>
      <c r="E42" s="89"/>
      <c r="F42" s="89"/>
      <c r="G42" s="89"/>
      <c r="H42" s="120">
        <f>H$22*$D$42</f>
        <v>294</v>
      </c>
      <c r="I42" s="120">
        <f>I$22*$D$42</f>
        <v>588</v>
      </c>
      <c r="J42" s="118">
        <f>E6*E15</f>
        <v>294</v>
      </c>
      <c r="K42" s="89"/>
    </row>
    <row r="43" spans="1:11" x14ac:dyDescent="0.25">
      <c r="A43" s="89"/>
      <c r="B43" s="89"/>
      <c r="C43" s="89"/>
      <c r="D43" s="89"/>
      <c r="E43" s="89"/>
      <c r="F43" s="119" t="s">
        <v>129</v>
      </c>
      <c r="G43" s="132"/>
      <c r="H43" s="125">
        <f>SUM(H41:H42)</f>
        <v>474</v>
      </c>
      <c r="I43" s="125">
        <f>SUM(I41:I42)</f>
        <v>948</v>
      </c>
      <c r="J43" s="126">
        <f>SUM(J41:J42)</f>
        <v>534</v>
      </c>
      <c r="K43" s="89"/>
    </row>
    <row r="44" spans="1:11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x14ac:dyDescent="0.25">
      <c r="A45" s="89"/>
      <c r="B45" s="89"/>
      <c r="C45" s="89"/>
      <c r="D45" s="89"/>
      <c r="E45" s="89"/>
      <c r="F45" s="131" t="s">
        <v>130</v>
      </c>
      <c r="G45" s="132"/>
      <c r="H45" s="125">
        <f>H43/H22</f>
        <v>1.58</v>
      </c>
      <c r="I45" s="125">
        <f>I43/I22</f>
        <v>1.58</v>
      </c>
      <c r="J45" s="126">
        <f>IF(J22=0," ",J43/J22)</f>
        <v>1.78</v>
      </c>
      <c r="K45" s="89"/>
    </row>
    <row r="46" spans="1:11" x14ac:dyDescent="0.2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x14ac:dyDescent="0.2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x14ac:dyDescent="0.25">
      <c r="A48" s="89"/>
      <c r="B48" s="119" t="s">
        <v>160</v>
      </c>
      <c r="C48" s="111"/>
      <c r="D48" s="119"/>
      <c r="E48" s="119"/>
      <c r="F48" s="119"/>
      <c r="G48" s="133"/>
      <c r="H48" s="134">
        <f>H34+H45</f>
        <v>13.423333333333334</v>
      </c>
      <c r="I48" s="134">
        <f>I34+I45</f>
        <v>8.1516666666666673</v>
      </c>
      <c r="J48" s="126">
        <f>IF(J22=0," ",J34+J45)</f>
        <v>13.623333333333333</v>
      </c>
      <c r="K48" s="89"/>
    </row>
    <row r="49" spans="1:15" x14ac:dyDescent="0.2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5" x14ac:dyDescent="0.2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</row>
    <row r="51" spans="1:15" x14ac:dyDescent="0.25">
      <c r="A51" s="89"/>
      <c r="B51" s="119" t="s">
        <v>133</v>
      </c>
      <c r="C51" s="111"/>
      <c r="D51" s="111"/>
      <c r="E51" s="111"/>
      <c r="F51" s="135">
        <f>F37</f>
        <v>18.05</v>
      </c>
      <c r="G51" s="136" t="s">
        <v>204</v>
      </c>
      <c r="H51" s="134">
        <f>$H$48/F37</f>
        <v>0.74367497691597417</v>
      </c>
      <c r="I51" s="134">
        <f>I48/$F$37</f>
        <v>0.45161588180978762</v>
      </c>
      <c r="J51" s="126">
        <f>IF(J22=0," ",J48/$F$37)</f>
        <v>0.75475530932594637</v>
      </c>
      <c r="K51" s="89"/>
    </row>
    <row r="52" spans="1:15" x14ac:dyDescent="0.25">
      <c r="A52" s="89"/>
      <c r="B52" s="89"/>
      <c r="C52" s="89"/>
      <c r="D52" s="89"/>
      <c r="E52" s="89"/>
      <c r="F52" s="89"/>
      <c r="G52" s="89"/>
      <c r="H52" s="89"/>
      <c r="I52" s="89"/>
      <c r="J52" s="89"/>
      <c r="K52" s="89"/>
    </row>
    <row r="53" spans="1:15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</row>
    <row r="54" spans="1:15" x14ac:dyDescent="0.25">
      <c r="A54" s="89"/>
      <c r="B54" s="119" t="s">
        <v>134</v>
      </c>
      <c r="C54" s="111"/>
      <c r="D54" s="89"/>
      <c r="E54" s="89"/>
      <c r="F54" s="89"/>
      <c r="G54" s="89"/>
      <c r="H54" s="89"/>
      <c r="I54" s="89"/>
      <c r="J54" s="89"/>
      <c r="K54" s="89"/>
    </row>
    <row r="55" spans="1:15" x14ac:dyDescent="0.25">
      <c r="A55" s="89"/>
      <c r="B55" s="116" t="s">
        <v>135</v>
      </c>
      <c r="C55" s="111"/>
      <c r="D55" s="111"/>
      <c r="E55" s="137">
        <f>E16</f>
        <v>3.95E-2</v>
      </c>
      <c r="F55" s="89"/>
      <c r="G55" s="89"/>
      <c r="H55" s="139">
        <f>E7*E8*E55</f>
        <v>2.6267499999999999</v>
      </c>
      <c r="I55" s="139">
        <f>E7*E8*E55</f>
        <v>2.6267499999999999</v>
      </c>
      <c r="J55" s="118">
        <f>E7*E8*E55</f>
        <v>2.6267499999999999</v>
      </c>
      <c r="K55" s="89"/>
      <c r="N55" s="80"/>
      <c r="O55" s="80"/>
    </row>
    <row r="56" spans="1:15" x14ac:dyDescent="0.25">
      <c r="A56" s="89"/>
      <c r="B56" s="111" t="s">
        <v>201</v>
      </c>
      <c r="C56" s="111"/>
      <c r="D56" s="111"/>
      <c r="E56" s="281">
        <f>0.13</f>
        <v>0.13</v>
      </c>
      <c r="F56" s="89"/>
      <c r="G56" s="89"/>
      <c r="H56" s="139">
        <f>E56</f>
        <v>0.13</v>
      </c>
      <c r="I56" s="139">
        <f>E56</f>
        <v>0.13</v>
      </c>
      <c r="J56" s="118">
        <f>E17</f>
        <v>0.13</v>
      </c>
      <c r="K56" s="89"/>
      <c r="N56" s="80"/>
    </row>
    <row r="57" spans="1:15" x14ac:dyDescent="0.25">
      <c r="A57" s="89"/>
      <c r="B57" s="111" t="s">
        <v>139</v>
      </c>
      <c r="C57" s="111"/>
      <c r="D57" s="111"/>
      <c r="E57" s="89"/>
      <c r="F57" s="89"/>
      <c r="G57" s="89"/>
      <c r="H57" s="139">
        <v>0.1</v>
      </c>
      <c r="I57" s="139">
        <v>0.1</v>
      </c>
      <c r="J57" s="118">
        <f>E18</f>
        <v>0.1</v>
      </c>
      <c r="K57" s="89"/>
      <c r="N57" s="80"/>
    </row>
    <row r="58" spans="1:15" x14ac:dyDescent="0.25">
      <c r="A58" s="89"/>
      <c r="B58" s="89"/>
      <c r="C58" s="89"/>
      <c r="D58" s="119" t="s">
        <v>134</v>
      </c>
      <c r="E58" s="90"/>
      <c r="F58" s="119" t="s">
        <v>130</v>
      </c>
      <c r="G58" s="90"/>
      <c r="H58" s="134">
        <f>SUM(H55:H57)</f>
        <v>2.8567499999999999</v>
      </c>
      <c r="I58" s="134">
        <f>SUM(I55:I57)</f>
        <v>2.8567499999999999</v>
      </c>
      <c r="J58" s="126">
        <f>SUM(J55:J57)</f>
        <v>2.8567499999999999</v>
      </c>
      <c r="K58" s="89"/>
    </row>
    <row r="59" spans="1:15" x14ac:dyDescent="0.25">
      <c r="A59" s="89"/>
      <c r="B59" s="89"/>
      <c r="C59" s="89"/>
      <c r="D59" s="89"/>
      <c r="E59" s="89"/>
      <c r="F59" s="119" t="s">
        <v>211</v>
      </c>
      <c r="G59" s="90"/>
      <c r="H59" s="134">
        <f>H58/F51</f>
        <v>0.15826869806094182</v>
      </c>
      <c r="I59" s="134">
        <f>I58/F37</f>
        <v>0.15826869806094182</v>
      </c>
      <c r="J59" s="134">
        <f>J58/F37</f>
        <v>0.15826869806094182</v>
      </c>
      <c r="K59" s="89"/>
    </row>
    <row r="60" spans="1:15" ht="14.4" thickBot="1" x14ac:dyDescent="0.3">
      <c r="A60" s="89"/>
      <c r="B60" s="89"/>
      <c r="C60" s="89"/>
      <c r="D60" s="89"/>
      <c r="E60" s="89"/>
      <c r="F60" s="89"/>
      <c r="G60" s="89"/>
      <c r="H60" s="89"/>
      <c r="I60" s="89"/>
      <c r="J60" s="89"/>
      <c r="K60" s="89"/>
    </row>
    <row r="61" spans="1:15" ht="14.4" thickBot="1" x14ac:dyDescent="0.3">
      <c r="A61" s="89"/>
      <c r="B61" s="343" t="s">
        <v>161</v>
      </c>
      <c r="C61" s="344"/>
      <c r="D61" s="344"/>
      <c r="E61" s="344"/>
      <c r="F61" s="344"/>
      <c r="G61" s="345"/>
      <c r="H61" s="140">
        <f>H58+H34</f>
        <v>14.700083333333334</v>
      </c>
      <c r="I61" s="140">
        <f>I58+I34</f>
        <v>9.4284166666666671</v>
      </c>
      <c r="J61" s="141">
        <f>J58+J34</f>
        <v>14.700083333333334</v>
      </c>
      <c r="K61" s="89"/>
    </row>
    <row r="62" spans="1:15" ht="14.4" thickBot="1" x14ac:dyDescent="0.3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5" ht="14.4" thickBot="1" x14ac:dyDescent="0.3">
      <c r="A63" s="89"/>
      <c r="B63" s="343" t="s">
        <v>196</v>
      </c>
      <c r="C63" s="344"/>
      <c r="D63" s="344"/>
      <c r="E63" s="344"/>
      <c r="F63" s="344"/>
      <c r="G63" s="345"/>
      <c r="H63" s="140">
        <f>H61/$F$37</f>
        <v>0.81440904893813482</v>
      </c>
      <c r="I63" s="140">
        <f>I61/$F$37</f>
        <v>0.52234995383194827</v>
      </c>
      <c r="J63" s="140">
        <f>J61/$F$37</f>
        <v>0.81440904893813482</v>
      </c>
      <c r="K63" s="89"/>
    </row>
    <row r="64" spans="1:15" x14ac:dyDescent="0.25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2:9" x14ac:dyDescent="0.25">
      <c r="H65" s="176"/>
      <c r="I65" s="176"/>
    </row>
    <row r="66" spans="2:9" x14ac:dyDescent="0.25">
      <c r="E66" s="187"/>
      <c r="F66" s="187"/>
      <c r="G66" s="187"/>
      <c r="H66" s="183"/>
      <c r="I66" s="176"/>
    </row>
    <row r="67" spans="2:9" x14ac:dyDescent="0.25">
      <c r="E67" s="188"/>
      <c r="F67" s="188"/>
      <c r="G67" s="188"/>
      <c r="H67" s="184"/>
    </row>
    <row r="68" spans="2:9" x14ac:dyDescent="0.25">
      <c r="E68" s="188"/>
      <c r="F68" s="188"/>
      <c r="G68" s="188"/>
      <c r="H68" s="185"/>
    </row>
    <row r="69" spans="2:9" x14ac:dyDescent="0.25">
      <c r="E69" s="186"/>
      <c r="F69" s="186"/>
      <c r="G69" s="186"/>
      <c r="H69" s="186"/>
    </row>
    <row r="71" spans="2:9" x14ac:dyDescent="0.25">
      <c r="B71" s="177"/>
    </row>
    <row r="72" spans="2:9" x14ac:dyDescent="0.25">
      <c r="G72" s="178"/>
    </row>
    <row r="75" spans="2:9" x14ac:dyDescent="0.25">
      <c r="B75" s="179"/>
    </row>
  </sheetData>
  <sheetProtection sheet="1" objects="1" scenarios="1" selectLockedCells="1"/>
  <mergeCells count="14">
    <mergeCell ref="B63:G63"/>
    <mergeCell ref="B61:G61"/>
    <mergeCell ref="B12:D12"/>
    <mergeCell ref="B13:D13"/>
    <mergeCell ref="B14:D14"/>
    <mergeCell ref="B15:D15"/>
    <mergeCell ref="B16:D16"/>
    <mergeCell ref="B18:D18"/>
    <mergeCell ref="B11:D11"/>
    <mergeCell ref="B6:D6"/>
    <mergeCell ref="B7:D7"/>
    <mergeCell ref="B8:D8"/>
    <mergeCell ref="B9:D9"/>
    <mergeCell ref="B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499984740745262"/>
  </sheetPr>
  <dimension ref="A1:H54"/>
  <sheetViews>
    <sheetView zoomScale="91" zoomScaleNormal="91" workbookViewId="0">
      <selection activeCell="H3" sqref="H3"/>
    </sheetView>
  </sheetViews>
  <sheetFormatPr defaultColWidth="9" defaultRowHeight="13.8" x14ac:dyDescent="0.25"/>
  <cols>
    <col min="1" max="1" width="7.5" style="64" customWidth="1"/>
    <col min="2" max="2" width="23.59765625" style="64" customWidth="1"/>
    <col min="3" max="3" width="11.8984375" style="64" customWidth="1"/>
    <col min="4" max="4" width="13.3984375" style="64" customWidth="1"/>
    <col min="5" max="5" width="12" style="64" customWidth="1"/>
    <col min="6" max="6" width="11.19921875" style="64" customWidth="1"/>
    <col min="7" max="16384" width="9" style="64"/>
  </cols>
  <sheetData>
    <row r="1" spans="1:7" ht="14.25" x14ac:dyDescent="0.2">
      <c r="A1" s="95"/>
      <c r="B1" s="209" t="s">
        <v>152</v>
      </c>
      <c r="C1" s="211"/>
      <c r="D1" s="211"/>
      <c r="E1" s="211"/>
      <c r="F1" s="212"/>
      <c r="G1" s="95"/>
    </row>
    <row r="2" spans="1:7" ht="14.25" x14ac:dyDescent="0.2">
      <c r="A2" s="95"/>
      <c r="B2" s="95"/>
      <c r="C2" s="95"/>
      <c r="D2" s="95"/>
      <c r="E2" s="95"/>
      <c r="F2" s="95"/>
      <c r="G2" s="95"/>
    </row>
    <row r="3" spans="1:7" ht="14.25" x14ac:dyDescent="0.2">
      <c r="A3" s="95"/>
      <c r="B3" s="330" t="s">
        <v>173</v>
      </c>
      <c r="C3" s="346"/>
      <c r="D3" s="227">
        <f>'Cattle data'!B1</f>
        <v>42889</v>
      </c>
      <c r="E3" s="92" t="s">
        <v>198</v>
      </c>
      <c r="F3" s="228">
        <f>'Cattle data'!B2</f>
        <v>4374</v>
      </c>
      <c r="G3" s="95"/>
    </row>
    <row r="4" spans="1:7" ht="14.25" x14ac:dyDescent="0.2">
      <c r="A4" s="95"/>
      <c r="B4" s="95"/>
      <c r="C4" s="103" t="s">
        <v>189</v>
      </c>
      <c r="D4" s="241">
        <f>'Cattle data'!D1</f>
        <v>22</v>
      </c>
      <c r="E4" s="95"/>
      <c r="F4" s="95"/>
      <c r="G4" s="95"/>
    </row>
    <row r="5" spans="1:7" ht="14.25" x14ac:dyDescent="0.2">
      <c r="A5" s="95"/>
      <c r="B5" s="95"/>
      <c r="C5" s="95"/>
      <c r="D5" s="95"/>
      <c r="E5" s="95"/>
      <c r="F5" s="95"/>
      <c r="G5" s="95"/>
    </row>
    <row r="6" spans="1:7" ht="14.25" x14ac:dyDescent="0.2">
      <c r="A6" s="95"/>
      <c r="B6" s="323" t="s">
        <v>44</v>
      </c>
      <c r="C6" s="324"/>
      <c r="D6" s="325"/>
      <c r="E6" s="95"/>
      <c r="F6" s="95"/>
      <c r="G6" s="95"/>
    </row>
    <row r="7" spans="1:7" ht="14.25" x14ac:dyDescent="0.2">
      <c r="A7" s="95"/>
      <c r="B7" s="327" t="s">
        <v>99</v>
      </c>
      <c r="C7" s="328"/>
      <c r="D7" s="329"/>
      <c r="E7" s="95"/>
      <c r="F7" s="95"/>
      <c r="G7" s="95"/>
    </row>
    <row r="8" spans="1:7" ht="14.25" x14ac:dyDescent="0.2">
      <c r="A8" s="95"/>
      <c r="B8" s="95"/>
      <c r="C8" s="95"/>
      <c r="D8" s="95"/>
      <c r="E8" s="95"/>
      <c r="F8" s="95"/>
      <c r="G8" s="95"/>
    </row>
    <row r="9" spans="1:7" ht="14.25" x14ac:dyDescent="0.2">
      <c r="A9" s="95"/>
      <c r="B9" s="95"/>
      <c r="C9" s="95"/>
      <c r="D9" s="95"/>
      <c r="E9" s="95"/>
      <c r="F9" s="95"/>
      <c r="G9" s="95"/>
    </row>
    <row r="10" spans="1:7" ht="14.25" x14ac:dyDescent="0.2">
      <c r="A10" s="95"/>
      <c r="B10" s="92" t="s">
        <v>145</v>
      </c>
      <c r="C10" s="83">
        <v>340</v>
      </c>
      <c r="D10" s="95"/>
      <c r="E10" s="95"/>
      <c r="F10" s="95"/>
      <c r="G10" s="95"/>
    </row>
    <row r="11" spans="1:7" ht="14.25" x14ac:dyDescent="0.2">
      <c r="A11" s="95"/>
      <c r="B11" s="92" t="s">
        <v>144</v>
      </c>
      <c r="C11" s="84">
        <v>0</v>
      </c>
      <c r="D11" s="95"/>
      <c r="E11" s="95"/>
      <c r="F11" s="95"/>
      <c r="G11" s="95"/>
    </row>
    <row r="12" spans="1:7" ht="14.25" x14ac:dyDescent="0.2">
      <c r="A12" s="95"/>
      <c r="B12" s="92" t="s">
        <v>68</v>
      </c>
      <c r="C12" s="85" t="s">
        <v>70</v>
      </c>
      <c r="D12" s="95"/>
      <c r="E12" s="95"/>
      <c r="F12" s="95"/>
      <c r="G12" s="95"/>
    </row>
    <row r="13" spans="1:7" ht="14.25" x14ac:dyDescent="0.2">
      <c r="A13" s="95"/>
      <c r="B13" s="93" t="s">
        <v>17</v>
      </c>
      <c r="C13" s="105" t="s">
        <v>11</v>
      </c>
      <c r="D13" s="105">
        <v>3</v>
      </c>
      <c r="E13" s="95"/>
      <c r="F13" s="95"/>
      <c r="G13" s="95"/>
    </row>
    <row r="14" spans="1:7" ht="14.25" x14ac:dyDescent="0.2">
      <c r="A14" s="95"/>
      <c r="B14" s="93" t="s">
        <v>67</v>
      </c>
      <c r="C14" s="85" t="s">
        <v>11</v>
      </c>
      <c r="D14" s="85">
        <v>3</v>
      </c>
      <c r="E14" s="95"/>
      <c r="F14" s="95"/>
      <c r="G14" s="95"/>
    </row>
    <row r="15" spans="1:7" ht="14.25" x14ac:dyDescent="0.2">
      <c r="A15" s="95"/>
      <c r="B15" s="95"/>
      <c r="C15" s="95"/>
      <c r="D15" s="95"/>
      <c r="E15" s="95"/>
      <c r="F15" s="95"/>
      <c r="G15" s="95"/>
    </row>
    <row r="16" spans="1:7" x14ac:dyDescent="0.25">
      <c r="A16" s="95"/>
      <c r="B16" s="347" t="s">
        <v>174</v>
      </c>
      <c r="C16" s="348"/>
      <c r="D16" s="349"/>
      <c r="E16" s="95"/>
      <c r="F16" s="95"/>
      <c r="G16" s="95"/>
    </row>
    <row r="17" spans="1:8" x14ac:dyDescent="0.25">
      <c r="A17" s="95"/>
      <c r="B17" s="92" t="s">
        <v>81</v>
      </c>
      <c r="C17" s="66"/>
      <c r="D17" s="105" t="s">
        <v>176</v>
      </c>
      <c r="E17" s="95"/>
      <c r="F17" s="95"/>
      <c r="G17" s="95"/>
    </row>
    <row r="18" spans="1:8" ht="14.25" hidden="1" x14ac:dyDescent="0.2">
      <c r="A18" s="95"/>
      <c r="B18" s="92" t="s">
        <v>81</v>
      </c>
      <c r="C18" s="66"/>
      <c r="D18" s="105" t="s">
        <v>176</v>
      </c>
      <c r="E18" s="95"/>
      <c r="F18" s="95"/>
      <c r="G18" s="95"/>
    </row>
    <row r="19" spans="1:8" ht="14.25" hidden="1" x14ac:dyDescent="0.2">
      <c r="A19" s="95"/>
      <c r="B19" s="92" t="s">
        <v>82</v>
      </c>
      <c r="C19" s="66"/>
      <c r="D19" s="105" t="s">
        <v>176</v>
      </c>
      <c r="E19" s="95"/>
      <c r="F19" s="95"/>
      <c r="G19" s="95"/>
    </row>
    <row r="20" spans="1:8" x14ac:dyDescent="0.25">
      <c r="A20" s="95"/>
      <c r="B20" s="92" t="s">
        <v>82</v>
      </c>
      <c r="C20" s="66"/>
      <c r="D20" s="105" t="s">
        <v>176</v>
      </c>
      <c r="E20" s="95"/>
      <c r="F20" s="95"/>
      <c r="G20" s="95"/>
    </row>
    <row r="21" spans="1:8" x14ac:dyDescent="0.25">
      <c r="A21" s="95"/>
      <c r="B21" s="92" t="s">
        <v>64</v>
      </c>
      <c r="C21" s="66"/>
      <c r="D21" s="105" t="s">
        <v>176</v>
      </c>
      <c r="E21" s="95"/>
      <c r="F21" s="95"/>
      <c r="G21" s="95"/>
    </row>
    <row r="22" spans="1:8" x14ac:dyDescent="0.25">
      <c r="A22" s="95"/>
      <c r="B22" s="92" t="s">
        <v>65</v>
      </c>
      <c r="C22" s="66"/>
      <c r="D22" s="105" t="s">
        <v>176</v>
      </c>
      <c r="E22" s="95"/>
      <c r="F22" s="95"/>
      <c r="G22" s="95"/>
    </row>
    <row r="23" spans="1:8" x14ac:dyDescent="0.25">
      <c r="A23" s="95"/>
      <c r="B23" s="92" t="s">
        <v>66</v>
      </c>
      <c r="C23" s="66"/>
      <c r="D23" s="105" t="s">
        <v>176</v>
      </c>
      <c r="E23" s="95"/>
      <c r="F23" s="95"/>
      <c r="G23" s="95"/>
    </row>
    <row r="24" spans="1:8" x14ac:dyDescent="0.25">
      <c r="A24" s="95"/>
      <c r="B24" s="92" t="s">
        <v>48</v>
      </c>
      <c r="C24" s="66"/>
      <c r="D24" s="105" t="s">
        <v>176</v>
      </c>
      <c r="E24" s="95"/>
      <c r="F24" s="95"/>
      <c r="G24" s="95"/>
    </row>
    <row r="25" spans="1:8" x14ac:dyDescent="0.25">
      <c r="A25" s="95"/>
      <c r="B25" s="92" t="s">
        <v>171</v>
      </c>
      <c r="C25" s="66"/>
      <c r="D25" s="105" t="s">
        <v>176</v>
      </c>
      <c r="E25" s="95"/>
      <c r="F25" s="95"/>
      <c r="G25" s="95"/>
      <c r="H25" s="67"/>
    </row>
    <row r="26" spans="1:8" ht="15" thickBot="1" x14ac:dyDescent="0.25">
      <c r="A26" s="95"/>
      <c r="B26" s="95"/>
      <c r="C26" s="95"/>
      <c r="D26" s="95"/>
      <c r="E26" s="95"/>
      <c r="F26" s="95"/>
      <c r="G26" s="95"/>
    </row>
    <row r="27" spans="1:8" ht="15" thickBot="1" x14ac:dyDescent="0.25">
      <c r="A27" s="95"/>
      <c r="B27" s="248" t="s">
        <v>18</v>
      </c>
      <c r="C27" s="261" t="s">
        <v>15</v>
      </c>
      <c r="D27" s="261" t="s">
        <v>187</v>
      </c>
      <c r="E27" s="261" t="s">
        <v>79</v>
      </c>
      <c r="F27" s="258" t="s">
        <v>43</v>
      </c>
      <c r="G27" s="95"/>
    </row>
    <row r="28" spans="1:8" ht="14.25" x14ac:dyDescent="0.2">
      <c r="A28" s="95"/>
      <c r="B28" s="252" t="s">
        <v>29</v>
      </c>
      <c r="C28" s="271">
        <f>'Cattle data'!B8</f>
        <v>320</v>
      </c>
      <c r="D28" s="271">
        <f>'Cattle data'!C8</f>
        <v>364.1</v>
      </c>
      <c r="E28" s="271">
        <f>'Cattle data'!D8</f>
        <v>368.5</v>
      </c>
      <c r="F28" s="272">
        <f>'Cattle data'!E8</f>
        <v>0</v>
      </c>
      <c r="G28" s="95"/>
    </row>
    <row r="29" spans="1:8" ht="14.25" x14ac:dyDescent="0.2">
      <c r="A29" s="95"/>
      <c r="B29" s="92" t="s">
        <v>76</v>
      </c>
      <c r="C29" s="218">
        <f>'Cattle data'!B9</f>
        <v>320</v>
      </c>
      <c r="D29" s="217">
        <f>'Cattle data'!C9</f>
        <v>364.1</v>
      </c>
      <c r="E29" s="217">
        <f>'Cattle data'!D9</f>
        <v>368.5</v>
      </c>
      <c r="F29" s="108">
        <f>'Cattle data'!E9</f>
        <v>0</v>
      </c>
      <c r="G29" s="95"/>
    </row>
    <row r="30" spans="1:8" ht="14.25" x14ac:dyDescent="0.2">
      <c r="A30" s="95"/>
      <c r="B30" s="92" t="s">
        <v>77</v>
      </c>
      <c r="C30" s="106">
        <f>'Cattle data'!B10</f>
        <v>1088</v>
      </c>
      <c r="D30" s="82">
        <f>'Cattle data'!C10</f>
        <v>1237.94</v>
      </c>
      <c r="E30" s="82">
        <f>'Cattle data'!D10</f>
        <v>1252.9000000000001</v>
      </c>
      <c r="F30" s="82">
        <f>'Cattle data'!E10</f>
        <v>0</v>
      </c>
      <c r="G30" s="95"/>
    </row>
    <row r="31" spans="1:8" ht="15" thickBot="1" x14ac:dyDescent="0.25">
      <c r="A31" s="95"/>
      <c r="B31" s="350" t="str">
        <f>IF('Cattle data'!D4&gt;0,"IoMMs price includes bonus of","")</f>
        <v/>
      </c>
      <c r="C31" s="350"/>
      <c r="D31" s="267" t="str">
        <f>IF('Cattle data'!D4&gt;0,'Cattle data'!D4," ")</f>
        <v xml:space="preserve"> </v>
      </c>
      <c r="E31" s="95"/>
      <c r="F31" s="95"/>
      <c r="G31" s="95"/>
    </row>
    <row r="32" spans="1:8" ht="14.4" thickBot="1" x14ac:dyDescent="0.3">
      <c r="A32" s="95"/>
      <c r="B32" s="248" t="s">
        <v>175</v>
      </c>
      <c r="C32" s="261" t="s">
        <v>80</v>
      </c>
      <c r="D32" s="261" t="s">
        <v>72</v>
      </c>
      <c r="E32" s="261" t="s">
        <v>79</v>
      </c>
      <c r="F32" s="270" t="s">
        <v>43</v>
      </c>
      <c r="G32" s="95"/>
    </row>
    <row r="33" spans="1:7" ht="14.25" x14ac:dyDescent="0.2">
      <c r="A33" s="95"/>
      <c r="B33" s="252" t="s">
        <v>81</v>
      </c>
      <c r="C33" s="268">
        <f>'Cattle data'!B21</f>
        <v>0</v>
      </c>
      <c r="D33" s="268">
        <f>'Cattle data'!C21</f>
        <v>5</v>
      </c>
      <c r="E33" s="268">
        <f>'Cattle data'!D21</f>
        <v>5</v>
      </c>
      <c r="F33" s="269">
        <f>'Cattle data'!E21</f>
        <v>0</v>
      </c>
      <c r="G33" s="95"/>
    </row>
    <row r="34" spans="1:7" ht="14.25" x14ac:dyDescent="0.2">
      <c r="A34" s="95"/>
      <c r="B34" s="92" t="s">
        <v>191</v>
      </c>
      <c r="C34" s="72">
        <f>'Cattle data'!B22+'Cattle data'!B24</f>
        <v>3.19</v>
      </c>
      <c r="D34" s="72">
        <f>'Cattle data'!C22+'Cattle data'!C24</f>
        <v>4.5999999999999996</v>
      </c>
      <c r="E34" s="72">
        <f>'Cattle data'!D22+'Cattle data'!D24</f>
        <v>3.03</v>
      </c>
      <c r="F34" s="109">
        <f>'Cattle data'!E22+'Cattle data'!E24</f>
        <v>0</v>
      </c>
      <c r="G34" s="95"/>
    </row>
    <row r="35" spans="1:7" ht="14.25" x14ac:dyDescent="0.2">
      <c r="A35" s="95"/>
      <c r="B35" s="92" t="s">
        <v>78</v>
      </c>
      <c r="C35" s="72">
        <f>'Cattle data'!B25</f>
        <v>6.82</v>
      </c>
      <c r="D35" s="72">
        <f>'Cattle data'!C25</f>
        <v>8</v>
      </c>
      <c r="E35" s="72">
        <f>'Cattle data'!D25</f>
        <v>8.6300000000000008</v>
      </c>
      <c r="F35" s="109">
        <f>'Cattle data'!E25</f>
        <v>0</v>
      </c>
      <c r="G35" s="95"/>
    </row>
    <row r="36" spans="1:7" ht="14.25" x14ac:dyDescent="0.2">
      <c r="A36" s="95"/>
      <c r="B36" s="92" t="s">
        <v>66</v>
      </c>
      <c r="C36" s="72">
        <f>'Cattle data'!B26</f>
        <v>0</v>
      </c>
      <c r="D36" s="72">
        <f>'Cattle data'!C26</f>
        <v>0</v>
      </c>
      <c r="E36" s="72">
        <f>'Cattle data'!D26</f>
        <v>3</v>
      </c>
      <c r="F36" s="109">
        <f>'Cattle data'!E26</f>
        <v>0</v>
      </c>
      <c r="G36" s="95"/>
    </row>
    <row r="37" spans="1:7" x14ac:dyDescent="0.25">
      <c r="A37" s="95"/>
      <c r="B37" s="92" t="s">
        <v>171</v>
      </c>
      <c r="C37" s="72"/>
      <c r="D37" s="72"/>
      <c r="E37" s="72"/>
      <c r="F37" s="109">
        <f>'Cattle data'!E28</f>
        <v>0</v>
      </c>
      <c r="G37" s="95"/>
    </row>
    <row r="38" spans="1:7" ht="14.4" thickBot="1" x14ac:dyDescent="0.3">
      <c r="A38" s="95"/>
      <c r="B38" s="95"/>
      <c r="C38" s="95"/>
      <c r="D38" s="95"/>
      <c r="E38" s="95"/>
      <c r="F38" s="95"/>
      <c r="G38" s="95"/>
    </row>
    <row r="39" spans="1:7" ht="14.4" thickBot="1" x14ac:dyDescent="0.3">
      <c r="A39" s="95"/>
      <c r="B39" s="248" t="s">
        <v>31</v>
      </c>
      <c r="C39" s="274">
        <f>'Cattle data'!B30</f>
        <v>10.01</v>
      </c>
      <c r="D39" s="274">
        <f>'Cattle data'!C30</f>
        <v>19.369999999999997</v>
      </c>
      <c r="E39" s="274">
        <f>'Cattle data'!D30</f>
        <v>19.660000000000004</v>
      </c>
      <c r="F39" s="275">
        <f>'Cattle data'!E30</f>
        <v>0</v>
      </c>
      <c r="G39" s="95"/>
    </row>
    <row r="40" spans="1:7" x14ac:dyDescent="0.25">
      <c r="A40" s="95"/>
      <c r="B40" s="95"/>
      <c r="C40" s="95"/>
      <c r="D40" s="95"/>
      <c r="E40" s="95"/>
      <c r="F40" s="95"/>
      <c r="G40" s="95"/>
    </row>
    <row r="41" spans="1:7" x14ac:dyDescent="0.25">
      <c r="A41" s="95"/>
      <c r="B41" s="91" t="s">
        <v>30</v>
      </c>
      <c r="C41" s="82">
        <f>'Cattle data'!B32</f>
        <v>2.9441176470588235E-2</v>
      </c>
      <c r="D41" s="82">
        <f>'Cattle data'!C32</f>
        <v>5.6970588235294113E-2</v>
      </c>
      <c r="E41" s="82">
        <f>'Cattle data'!D32</f>
        <v>5.7823529411764718E-2</v>
      </c>
      <c r="F41" s="82">
        <f>'Cattle data'!E32</f>
        <v>0</v>
      </c>
      <c r="G41" s="95"/>
    </row>
    <row r="42" spans="1:7" x14ac:dyDescent="0.25">
      <c r="A42" s="95"/>
      <c r="B42" s="95"/>
      <c r="C42" s="95"/>
      <c r="D42" s="95"/>
      <c r="E42" s="95"/>
      <c r="F42" s="95"/>
      <c r="G42" s="95"/>
    </row>
    <row r="43" spans="1:7" x14ac:dyDescent="0.25">
      <c r="A43" s="95"/>
      <c r="B43" s="91" t="s">
        <v>32</v>
      </c>
      <c r="C43" s="82">
        <f>'Cattle data'!B12</f>
        <v>3.170558823529412</v>
      </c>
      <c r="D43" s="82">
        <f>'Cattle data'!C12</f>
        <v>3.584029411764706</v>
      </c>
      <c r="E43" s="82">
        <f>'Cattle data'!D12</f>
        <v>3.6271764705882354</v>
      </c>
      <c r="F43" s="82">
        <f>'Cattle data'!E12</f>
        <v>0</v>
      </c>
      <c r="G43" s="95"/>
    </row>
    <row r="44" spans="1:7" x14ac:dyDescent="0.25">
      <c r="A44" s="95"/>
      <c r="B44" s="95"/>
      <c r="C44" s="95"/>
      <c r="D44" s="95"/>
      <c r="E44" s="95"/>
      <c r="F44" s="95"/>
      <c r="G44" s="95"/>
    </row>
    <row r="45" spans="1:7" x14ac:dyDescent="0.25">
      <c r="A45" s="95"/>
      <c r="B45" s="91" t="s">
        <v>88</v>
      </c>
      <c r="C45" s="82">
        <f>'Cattle data'!B13</f>
        <v>1065.32</v>
      </c>
      <c r="D45" s="82">
        <f>'Cattle data'!C13</f>
        <v>1218.5700000000002</v>
      </c>
      <c r="E45" s="82">
        <f>'Cattle data'!D13</f>
        <v>1233.24</v>
      </c>
      <c r="F45" s="82">
        <f>'Cattle data'!E13</f>
        <v>0</v>
      </c>
      <c r="G45" s="95"/>
    </row>
    <row r="46" spans="1:7" ht="14.4" thickBot="1" x14ac:dyDescent="0.3">
      <c r="A46" s="95"/>
      <c r="B46" s="95"/>
      <c r="C46" s="95"/>
      <c r="D46" s="95"/>
      <c r="E46" s="95"/>
      <c r="F46" s="95"/>
      <c r="G46" s="95"/>
    </row>
    <row r="47" spans="1:7" ht="14.4" thickBot="1" x14ac:dyDescent="0.3">
      <c r="A47" s="95"/>
      <c r="B47" s="262" t="s">
        <v>195</v>
      </c>
      <c r="C47" s="273"/>
      <c r="D47" s="264">
        <f>$C$45/D45</f>
        <v>0.87423783615221107</v>
      </c>
      <c r="E47" s="264">
        <f t="shared" ref="E47" si="0">$C$45/E45</f>
        <v>0.86383834452336927</v>
      </c>
      <c r="F47" s="265" t="str">
        <f>IF(F45&gt;0,$C$45/F45,"")</f>
        <v/>
      </c>
      <c r="G47" s="95"/>
    </row>
    <row r="48" spans="1:7" x14ac:dyDescent="0.25">
      <c r="A48" s="95"/>
      <c r="B48" s="95"/>
      <c r="C48" s="95"/>
      <c r="D48" s="95"/>
      <c r="E48" s="95"/>
      <c r="F48" s="95"/>
      <c r="G48" s="95"/>
    </row>
    <row r="49" spans="1:7" x14ac:dyDescent="0.25">
      <c r="A49" s="95"/>
      <c r="B49" s="221" t="s">
        <v>192</v>
      </c>
      <c r="C49" s="82">
        <f>'Cattle data'!B27</f>
        <v>12.67</v>
      </c>
      <c r="D49" s="82">
        <f>'Cattle data'!C15</f>
        <v>103.625</v>
      </c>
      <c r="E49" s="82">
        <f>'Cattle data'!D15</f>
        <v>103.625</v>
      </c>
      <c r="F49" s="82">
        <f>'Cattle data'!E15</f>
        <v>103.97499999999999</v>
      </c>
      <c r="G49" s="95"/>
    </row>
    <row r="50" spans="1:7" x14ac:dyDescent="0.25">
      <c r="A50" s="95"/>
      <c r="B50" s="95"/>
      <c r="C50" s="95"/>
      <c r="D50" s="95"/>
      <c r="E50" s="95"/>
      <c r="F50" s="95"/>
      <c r="G50" s="95"/>
    </row>
    <row r="51" spans="1:7" x14ac:dyDescent="0.25">
      <c r="A51" s="95"/>
      <c r="B51" s="91" t="s">
        <v>141</v>
      </c>
      <c r="C51" s="82">
        <f>'Cattle data'!B17</f>
        <v>1065.32</v>
      </c>
      <c r="D51" s="82">
        <f>'Cattle data'!C17</f>
        <v>1114.9450000000002</v>
      </c>
      <c r="E51" s="82">
        <f>'Cattle data'!D17</f>
        <v>1129.615</v>
      </c>
      <c r="F51" s="82">
        <f>'Cattle data'!E17</f>
        <v>-103.97499999999999</v>
      </c>
      <c r="G51" s="95"/>
    </row>
    <row r="52" spans="1:7" ht="14.4" thickBot="1" x14ac:dyDescent="0.3">
      <c r="A52" s="95"/>
      <c r="B52" s="95"/>
      <c r="C52" s="95"/>
      <c r="D52" s="95"/>
      <c r="E52" s="95"/>
      <c r="F52" s="95"/>
      <c r="G52" s="95"/>
    </row>
    <row r="53" spans="1:7" ht="14.4" thickBot="1" x14ac:dyDescent="0.3">
      <c r="A53" s="95"/>
      <c r="B53" s="262" t="s">
        <v>195</v>
      </c>
      <c r="C53" s="273"/>
      <c r="D53" s="264">
        <f>$C$51/D51</f>
        <v>0.95549107803523925</v>
      </c>
      <c r="E53" s="264">
        <f t="shared" ref="E53" si="1">$C$51/E51</f>
        <v>0.94308237762423475</v>
      </c>
      <c r="F53" s="265" t="str">
        <f>IF(F45&gt;0,$C$51/F51,"")</f>
        <v/>
      </c>
      <c r="G53" s="95"/>
    </row>
    <row r="54" spans="1:7" x14ac:dyDescent="0.25">
      <c r="A54" s="95"/>
      <c r="B54" s="95"/>
      <c r="C54" s="95"/>
      <c r="D54" s="95"/>
      <c r="E54" s="95"/>
      <c r="F54" s="95"/>
      <c r="G54" s="95"/>
    </row>
  </sheetData>
  <sheetProtection sheet="1" objects="1" scenarios="1" selectLockedCells="1"/>
  <mergeCells count="5">
    <mergeCell ref="B6:D6"/>
    <mergeCell ref="B3:C3"/>
    <mergeCell ref="B16:D16"/>
    <mergeCell ref="B7:D7"/>
    <mergeCell ref="B31:C3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'Cattle data'!$K$4:$K$11</xm:f>
          </x14:formula1>
          <xm:sqref>C14</xm:sqref>
        </x14:dataValidation>
        <x14:dataValidation type="list" allowBlank="1" showInputMessage="1" showErrorMessage="1">
          <x14:formula1>
            <xm:f>'Cattle data'!$D$35:$D$43</xm:f>
          </x14:formula1>
          <xm:sqref>C12</xm:sqref>
        </x14:dataValidation>
        <x14:dataValidation type="list" allowBlank="1" showInputMessage="1" showErrorMessage="1">
          <x14:formula1>
            <xm:f>'Cattle data'!$L$3:$R$3</xm:f>
          </x14:formula1>
          <xm:sqref>D14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AD52"/>
  <sheetViews>
    <sheetView workbookViewId="0">
      <selection activeCell="D2" sqref="D2"/>
    </sheetView>
  </sheetViews>
  <sheetFormatPr defaultRowHeight="13.8" x14ac:dyDescent="0.25"/>
  <cols>
    <col min="1" max="1" width="22.8984375" customWidth="1"/>
    <col min="2" max="2" width="11.59765625" customWidth="1"/>
    <col min="3" max="3" width="14.19921875" customWidth="1"/>
    <col min="6" max="6" width="6.19921875" customWidth="1"/>
    <col min="9" max="9" width="9.19921875" customWidth="1"/>
    <col min="11" max="11" width="14.09765625" customWidth="1"/>
    <col min="20" max="20" width="14.5" customWidth="1"/>
  </cols>
  <sheetData>
    <row r="1" spans="1:30" ht="14.25" customHeight="1" x14ac:dyDescent="0.2">
      <c r="A1" t="s">
        <v>188</v>
      </c>
      <c r="B1" s="234">
        <v>42889</v>
      </c>
      <c r="C1" t="s">
        <v>148</v>
      </c>
      <c r="D1" s="235">
        <v>22</v>
      </c>
      <c r="K1" t="s">
        <v>63</v>
      </c>
      <c r="T1" s="290" t="s">
        <v>179</v>
      </c>
      <c r="U1" s="334" t="s">
        <v>180</v>
      </c>
      <c r="V1" s="334"/>
      <c r="W1" s="334" t="s">
        <v>181</v>
      </c>
      <c r="X1" s="334"/>
      <c r="Y1" s="334" t="s">
        <v>182</v>
      </c>
      <c r="Z1" s="334"/>
      <c r="AA1" s="334" t="s">
        <v>183</v>
      </c>
      <c r="AB1" s="334"/>
      <c r="AC1" s="334" t="s">
        <v>184</v>
      </c>
      <c r="AD1" s="334"/>
    </row>
    <row r="2" spans="1:30" x14ac:dyDescent="0.25">
      <c r="A2" t="s">
        <v>190</v>
      </c>
      <c r="B2" s="321">
        <f>AA8</f>
        <v>4374</v>
      </c>
      <c r="K2" t="s">
        <v>51</v>
      </c>
      <c r="L2" s="216">
        <f>(U4+V4)/2</f>
        <v>368.5</v>
      </c>
      <c r="T2" s="290"/>
      <c r="U2" s="7">
        <v>3</v>
      </c>
      <c r="V2" s="7" t="s">
        <v>7</v>
      </c>
      <c r="W2" s="7">
        <v>3</v>
      </c>
      <c r="X2" s="7" t="s">
        <v>7</v>
      </c>
      <c r="Y2" s="7">
        <v>3</v>
      </c>
      <c r="Z2" s="7" t="s">
        <v>7</v>
      </c>
      <c r="AA2" s="7">
        <v>3</v>
      </c>
      <c r="AB2" s="7" t="s">
        <v>7</v>
      </c>
      <c r="AC2" s="7">
        <v>3</v>
      </c>
      <c r="AD2" s="7" t="s">
        <v>7</v>
      </c>
    </row>
    <row r="3" spans="1:30" ht="14.25" customHeight="1" x14ac:dyDescent="0.25">
      <c r="A3" s="23" t="s">
        <v>15</v>
      </c>
      <c r="B3" s="236">
        <v>320</v>
      </c>
      <c r="E3" s="23"/>
      <c r="F3" s="23"/>
      <c r="G3" s="23"/>
      <c r="H3" s="22"/>
      <c r="K3" s="20"/>
      <c r="L3" s="45">
        <v>1</v>
      </c>
      <c r="M3" s="45">
        <v>2</v>
      </c>
      <c r="N3" s="45">
        <v>3</v>
      </c>
      <c r="O3" s="45" t="s">
        <v>7</v>
      </c>
      <c r="P3" s="45" t="s">
        <v>8</v>
      </c>
      <c r="Q3" s="45" t="s">
        <v>61</v>
      </c>
      <c r="R3" s="45" t="s">
        <v>62</v>
      </c>
      <c r="T3" s="9" t="s">
        <v>60</v>
      </c>
      <c r="U3" s="230"/>
      <c r="V3" s="9"/>
      <c r="W3" s="230"/>
      <c r="X3" s="9"/>
      <c r="Y3" s="230"/>
      <c r="Z3" s="9"/>
      <c r="AA3" s="230">
        <v>363.9</v>
      </c>
      <c r="AB3" s="9">
        <v>362.6</v>
      </c>
      <c r="AC3" s="230"/>
      <c r="AD3" s="9"/>
    </row>
    <row r="4" spans="1:30" ht="14.25" customHeight="1" x14ac:dyDescent="0.25">
      <c r="A4" s="2" t="s">
        <v>21</v>
      </c>
      <c r="B4" s="4" t="str">
        <f>CONCATENATE(Cattle!C14,Cattle!D14)</f>
        <v>R3</v>
      </c>
      <c r="C4" s="23" t="s">
        <v>197</v>
      </c>
      <c r="D4" s="288">
        <v>0</v>
      </c>
      <c r="E4" s="23"/>
      <c r="F4" s="23"/>
      <c r="G4" s="23"/>
      <c r="H4" s="23"/>
      <c r="K4" s="20" t="s">
        <v>9</v>
      </c>
      <c r="L4" s="45">
        <f>$L$2-20</f>
        <v>348.5</v>
      </c>
      <c r="M4" s="45">
        <f>$L$2+20</f>
        <v>388.5</v>
      </c>
      <c r="N4" s="45">
        <f>$L$2+25</f>
        <v>393.5</v>
      </c>
      <c r="O4" s="45">
        <f>$L$2+25</f>
        <v>393.5</v>
      </c>
      <c r="P4" s="45">
        <f t="shared" ref="P4" si="0">$L$2+20</f>
        <v>388.5</v>
      </c>
      <c r="Q4" s="45">
        <f>$L$2-15</f>
        <v>353.5</v>
      </c>
      <c r="R4" s="45" t="s">
        <v>11</v>
      </c>
      <c r="T4" s="12" t="s">
        <v>11</v>
      </c>
      <c r="U4" s="315">
        <v>367.5</v>
      </c>
      <c r="V4" s="316">
        <v>369.5</v>
      </c>
      <c r="W4" s="11"/>
      <c r="X4" s="12"/>
      <c r="Y4" s="11"/>
      <c r="Z4" s="12"/>
      <c r="AA4" s="11">
        <v>364.1</v>
      </c>
      <c r="AB4" s="12">
        <v>368.3</v>
      </c>
      <c r="AC4" s="11"/>
      <c r="AD4" s="12"/>
    </row>
    <row r="5" spans="1:30" ht="14.25" customHeight="1" x14ac:dyDescent="0.25">
      <c r="A5" s="2" t="s">
        <v>75</v>
      </c>
      <c r="B5" s="2">
        <v>340</v>
      </c>
      <c r="C5" s="23"/>
      <c r="D5" s="23"/>
      <c r="E5" s="23"/>
      <c r="F5" s="23"/>
      <c r="G5" s="23"/>
      <c r="H5" s="23"/>
      <c r="K5" s="20" t="s">
        <v>55</v>
      </c>
      <c r="L5" s="45">
        <f t="shared" ref="L5" si="1">$L$2-20</f>
        <v>348.5</v>
      </c>
      <c r="M5" s="45">
        <f>$L$2+14</f>
        <v>382.5</v>
      </c>
      <c r="N5" s="45">
        <f>$L$2+18</f>
        <v>386.5</v>
      </c>
      <c r="O5" s="45">
        <f>$L$2+18</f>
        <v>386.5</v>
      </c>
      <c r="P5" s="45">
        <f>$L$2+14</f>
        <v>382.5</v>
      </c>
      <c r="Q5" s="45">
        <f t="shared" ref="Q5" si="2">$L$2-15</f>
        <v>353.5</v>
      </c>
      <c r="R5" s="45" t="s">
        <v>11</v>
      </c>
      <c r="T5" s="9" t="s">
        <v>56</v>
      </c>
      <c r="U5" s="230"/>
      <c r="V5" s="9"/>
      <c r="W5" s="230"/>
      <c r="X5" s="9"/>
      <c r="Y5" s="230"/>
      <c r="Z5" s="9"/>
      <c r="AA5" s="230">
        <v>355.5</v>
      </c>
      <c r="AB5" s="9">
        <v>356.5</v>
      </c>
      <c r="AC5" s="230"/>
      <c r="AD5" s="9"/>
    </row>
    <row r="6" spans="1:30" ht="14.25" customHeight="1" x14ac:dyDescent="0.25">
      <c r="F6" s="23"/>
      <c r="G6" s="23"/>
      <c r="H6" s="23"/>
      <c r="K6" s="20" t="s">
        <v>60</v>
      </c>
      <c r="L6" s="45">
        <f>$L$2-25</f>
        <v>343.5</v>
      </c>
      <c r="M6" s="45">
        <f>$L$2+8</f>
        <v>376.5</v>
      </c>
      <c r="N6" s="45">
        <f>$L$2+10</f>
        <v>378.5</v>
      </c>
      <c r="O6" s="45">
        <f>$L$2+10</f>
        <v>378.5</v>
      </c>
      <c r="P6" s="45">
        <f>$L$2+7</f>
        <v>375.5</v>
      </c>
      <c r="Q6" s="45">
        <f>$L$2-20</f>
        <v>348.5</v>
      </c>
      <c r="R6" s="45" t="s">
        <v>11</v>
      </c>
      <c r="T6" s="12" t="s">
        <v>59</v>
      </c>
      <c r="U6" s="11"/>
      <c r="V6" s="12"/>
      <c r="W6" s="11"/>
      <c r="X6" s="12"/>
      <c r="Y6" s="11"/>
      <c r="Z6" s="12"/>
      <c r="AA6" s="11">
        <v>325.2</v>
      </c>
      <c r="AB6" s="12">
        <v>325.89999999999998</v>
      </c>
      <c r="AC6" s="11"/>
      <c r="AD6" s="12"/>
    </row>
    <row r="7" spans="1:30" ht="15" customHeight="1" x14ac:dyDescent="0.25">
      <c r="A7" s="2"/>
      <c r="B7" s="4" t="s">
        <v>15</v>
      </c>
      <c r="C7" s="4" t="s">
        <v>20</v>
      </c>
      <c r="D7" s="104" t="s">
        <v>79</v>
      </c>
      <c r="E7" s="48" t="s">
        <v>98</v>
      </c>
      <c r="F7" s="23"/>
      <c r="G7" s="23"/>
      <c r="H7" s="23"/>
      <c r="K7" s="20" t="s">
        <v>11</v>
      </c>
      <c r="L7" s="45">
        <f>$L$2-25</f>
        <v>343.5</v>
      </c>
      <c r="M7" s="45">
        <f>$L$2-2</f>
        <v>366.5</v>
      </c>
      <c r="N7" s="46">
        <f t="shared" ref="N7:O7" si="3">$L$2</f>
        <v>368.5</v>
      </c>
      <c r="O7" s="46">
        <f t="shared" si="3"/>
        <v>368.5</v>
      </c>
      <c r="P7" s="45">
        <f>$L$2-4</f>
        <v>364.5</v>
      </c>
      <c r="Q7" s="45">
        <f>$L$2-25</f>
        <v>343.5</v>
      </c>
      <c r="R7" s="45" t="s">
        <v>11</v>
      </c>
      <c r="T7" s="9" t="s">
        <v>185</v>
      </c>
      <c r="U7" s="9"/>
      <c r="V7" s="9"/>
      <c r="W7" s="9"/>
      <c r="X7" s="9"/>
      <c r="Y7" s="9"/>
      <c r="Z7" s="9"/>
      <c r="AA7" s="230">
        <v>354.3</v>
      </c>
      <c r="AB7" s="322">
        <v>-2E-3</v>
      </c>
      <c r="AC7" s="9"/>
      <c r="AD7" s="9"/>
    </row>
    <row r="8" spans="1:30" ht="15" customHeight="1" x14ac:dyDescent="0.25">
      <c r="A8" s="2" t="s">
        <v>83</v>
      </c>
      <c r="B8" s="2">
        <f>VLOOKUP(Cattle!C14,'Cattle data'!K15:R23, MATCH(Cattle!D14,'Cattle data'!K15:R15,0),0)</f>
        <v>320</v>
      </c>
      <c r="C8" s="2">
        <f>VLOOKUP(Cattle!C14,K26:R35, MATCH(Cattle!D14,K26:R26,0),0)</f>
        <v>364.1</v>
      </c>
      <c r="D8" s="56">
        <f>VLOOKUP(Cattle!C14,K3:R11, MATCH(Cattle!D14,K3:R3,0),0)</f>
        <v>368.5</v>
      </c>
      <c r="E8" s="213">
        <f>Cattle!C11</f>
        <v>0</v>
      </c>
      <c r="F8" s="23"/>
      <c r="G8" s="23"/>
      <c r="H8" s="23"/>
      <c r="K8" s="20" t="s">
        <v>56</v>
      </c>
      <c r="L8" s="45">
        <f>$L$2-30</f>
        <v>338.5</v>
      </c>
      <c r="M8" s="45">
        <f>$L$2-12</f>
        <v>356.5</v>
      </c>
      <c r="N8" s="45">
        <f>$L$2-10</f>
        <v>358.5</v>
      </c>
      <c r="O8" s="45">
        <f>$L$2-10</f>
        <v>358.5</v>
      </c>
      <c r="P8" s="45">
        <f>$L$2-15</f>
        <v>353.5</v>
      </c>
      <c r="Q8" s="45">
        <f>$L$2-35</f>
        <v>333.5</v>
      </c>
      <c r="R8" s="45" t="s">
        <v>11</v>
      </c>
      <c r="T8" s="233" t="s">
        <v>186</v>
      </c>
      <c r="U8" s="319">
        <v>14497</v>
      </c>
      <c r="V8" s="232">
        <v>-1.6E-2</v>
      </c>
      <c r="W8" s="230"/>
      <c r="X8" s="232"/>
      <c r="Y8" s="230"/>
      <c r="Z8" s="289"/>
      <c r="AA8" s="320">
        <v>4374</v>
      </c>
      <c r="AB8" s="232">
        <v>-4.9000000000000002E-2</v>
      </c>
      <c r="AC8" s="230"/>
      <c r="AD8" s="232"/>
    </row>
    <row r="9" spans="1:30" x14ac:dyDescent="0.25">
      <c r="A9" s="2" t="s">
        <v>84</v>
      </c>
      <c r="B9" s="2">
        <f>IF(B5&lt;'Cattle data'!B35,"Realisatiion",IF(B5&lt;'Cattle data'!B36,'Cattle data'!B8-C36,IF(B5&gt;(B38-1),B8-C38,IF(B5&gt;(B37-1),B8-C37,'Cattle data'!B8))))</f>
        <v>320</v>
      </c>
      <c r="C9" s="2">
        <f>C8</f>
        <v>364.1</v>
      </c>
      <c r="D9" s="56">
        <f>IF(B5&lt;B41,"Realisation",IF(B5&lt;B42,D8-C42,IF(B5&lt;B43,D8-C43,IF(B5&lt;B44,D8-C44,IF(B5&lt;B45,D8-C45,IF(B5&lt;B46,D8-C46,IF(B5&lt;B47,D8-C47,IF(B5&lt;B48,D8-C48,IF(B5&lt;B49,D8-C49,IF(B5&gt;B50,D8-C50,IF(B5&gt;B51,D8-C51,D8)))))))))))</f>
        <v>368.5</v>
      </c>
      <c r="E9" s="20">
        <f>E8</f>
        <v>0</v>
      </c>
      <c r="F9" s="23"/>
      <c r="G9" s="23"/>
      <c r="H9" s="23"/>
      <c r="K9" s="20" t="s">
        <v>59</v>
      </c>
      <c r="L9" s="45">
        <f>$L$2-60</f>
        <v>308.5</v>
      </c>
      <c r="M9" s="45">
        <f>$L$2-40</f>
        <v>328.5</v>
      </c>
      <c r="N9" s="45">
        <f>$L$2-35</f>
        <v>333.5</v>
      </c>
      <c r="O9" s="45">
        <f>$L$2-35</f>
        <v>333.5</v>
      </c>
      <c r="P9" s="45">
        <f>$L$2-40</f>
        <v>328.5</v>
      </c>
      <c r="Q9" s="45">
        <f>$L$2-50</f>
        <v>318.5</v>
      </c>
      <c r="R9" s="45" t="s">
        <v>11</v>
      </c>
      <c r="T9" s="229"/>
      <c r="U9" s="230"/>
      <c r="V9" s="231"/>
      <c r="W9" s="230"/>
      <c r="X9" s="231"/>
      <c r="Y9" s="230"/>
      <c r="Z9" s="231"/>
      <c r="AA9" s="230"/>
      <c r="AB9" s="87"/>
      <c r="AC9" s="230"/>
      <c r="AD9" s="232"/>
    </row>
    <row r="10" spans="1:30" ht="14.25" x14ac:dyDescent="0.2">
      <c r="A10" s="2" t="s">
        <v>85</v>
      </c>
      <c r="B10" s="2">
        <f>IF(B5&gt;B39,(B39*B9)/100,(B5*B9)/100)</f>
        <v>1088</v>
      </c>
      <c r="C10" s="2">
        <f>C9*B5/100</f>
        <v>1237.94</v>
      </c>
      <c r="D10" s="56">
        <f>IF(B5&gt;B52,(D9*B52)/100,(B5*D9)/100)</f>
        <v>1252.9000000000001</v>
      </c>
      <c r="E10" s="2">
        <f>E8*B5/100</f>
        <v>0</v>
      </c>
      <c r="F10" s="23"/>
      <c r="G10" s="23"/>
      <c r="H10" s="23"/>
      <c r="K10" s="20" t="s">
        <v>57</v>
      </c>
      <c r="L10" s="45" t="s">
        <v>11</v>
      </c>
      <c r="M10" s="45">
        <f>$L$2-80</f>
        <v>288.5</v>
      </c>
      <c r="N10" s="45">
        <f>$L$2-65</f>
        <v>303.5</v>
      </c>
      <c r="O10" s="45">
        <f>$L$2-65</f>
        <v>303.5</v>
      </c>
      <c r="P10" s="45">
        <f>$L$2-80</f>
        <v>288.5</v>
      </c>
      <c r="Q10" s="45">
        <f>$L$2-100</f>
        <v>268.5</v>
      </c>
      <c r="R10" s="45" t="s">
        <v>11</v>
      </c>
      <c r="T10" s="291" t="s">
        <v>212</v>
      </c>
    </row>
    <row r="11" spans="1:30" ht="14.25" x14ac:dyDescent="0.2">
      <c r="A11" s="42" t="s">
        <v>86</v>
      </c>
      <c r="B11" s="2">
        <f>B10/$B$5</f>
        <v>3.2</v>
      </c>
      <c r="C11" s="2">
        <f>C10/$B$5</f>
        <v>3.641</v>
      </c>
      <c r="D11" s="2">
        <f>D10/$B$5</f>
        <v>3.6850000000000001</v>
      </c>
      <c r="E11" s="2">
        <f>E10/$B$5</f>
        <v>0</v>
      </c>
      <c r="F11" s="23"/>
      <c r="G11" s="23"/>
      <c r="H11" s="23"/>
      <c r="K11" s="20" t="s">
        <v>58</v>
      </c>
      <c r="L11" s="45" t="s">
        <v>11</v>
      </c>
      <c r="M11" s="45">
        <f>$L$2-100</f>
        <v>268.5</v>
      </c>
      <c r="N11" s="45">
        <f>$L$2-80</f>
        <v>288.5</v>
      </c>
      <c r="O11" s="45">
        <f>$L$2-80</f>
        <v>288.5</v>
      </c>
      <c r="P11" s="45" t="s">
        <v>11</v>
      </c>
      <c r="Q11" s="45" t="s">
        <v>11</v>
      </c>
      <c r="R11" s="45" t="s">
        <v>11</v>
      </c>
    </row>
    <row r="12" spans="1:30" ht="14.25" x14ac:dyDescent="0.2">
      <c r="A12" s="42" t="s">
        <v>87</v>
      </c>
      <c r="B12" s="43">
        <f>B11-B32</f>
        <v>3.170558823529412</v>
      </c>
      <c r="C12" s="43">
        <f>C11-C32</f>
        <v>3.584029411764706</v>
      </c>
      <c r="D12" s="43">
        <f>D11-D32</f>
        <v>3.6271764705882354</v>
      </c>
      <c r="E12" s="43">
        <f>E11-E32</f>
        <v>0</v>
      </c>
      <c r="F12" s="21"/>
      <c r="G12" s="21"/>
      <c r="H12" s="21"/>
      <c r="K12" s="47"/>
      <c r="L12" s="47"/>
      <c r="M12" s="47"/>
      <c r="N12" s="47"/>
      <c r="O12" s="47"/>
      <c r="P12" s="47"/>
      <c r="Q12" s="47"/>
      <c r="R12" s="47"/>
    </row>
    <row r="13" spans="1:30" ht="14.25" x14ac:dyDescent="0.2">
      <c r="A13" s="42" t="s">
        <v>89</v>
      </c>
      <c r="B13" s="43">
        <f>B10-B30-B27</f>
        <v>1065.32</v>
      </c>
      <c r="C13" s="43">
        <f>C10-C30</f>
        <v>1218.5700000000002</v>
      </c>
      <c r="D13" s="43">
        <f>D10-D30</f>
        <v>1233.24</v>
      </c>
      <c r="E13" s="43">
        <f>E10-E30</f>
        <v>0</v>
      </c>
      <c r="K13" s="47" t="s">
        <v>15</v>
      </c>
      <c r="L13" s="47"/>
      <c r="M13" s="47"/>
      <c r="N13" s="47"/>
      <c r="O13" s="47"/>
      <c r="P13" s="47"/>
      <c r="Q13" s="47"/>
      <c r="R13" s="47"/>
    </row>
    <row r="14" spans="1:30" ht="14.25" x14ac:dyDescent="0.2">
      <c r="C14" s="58">
        <f>B13/C13</f>
        <v>0.87423783615221107</v>
      </c>
      <c r="D14" s="58">
        <f>B13/D13</f>
        <v>0.86383834452336927</v>
      </c>
      <c r="E14" s="59" t="e">
        <f>B13/Cattle!F45</f>
        <v>#DIV/0!</v>
      </c>
      <c r="K14" s="47" t="s">
        <v>51</v>
      </c>
      <c r="L14" s="47">
        <f>B3</f>
        <v>320</v>
      </c>
      <c r="M14" s="47"/>
      <c r="N14" s="47"/>
      <c r="O14" s="47"/>
      <c r="P14" s="47"/>
      <c r="Q14" s="47"/>
      <c r="R14" s="47"/>
    </row>
    <row r="15" spans="1:30" ht="14.25" x14ac:dyDescent="0.2">
      <c r="A15" t="s">
        <v>140</v>
      </c>
      <c r="B15" s="16"/>
      <c r="C15" s="16">
        <f>D15</f>
        <v>103.625</v>
      </c>
      <c r="D15" s="16">
        <f>'Cattle export'!I50</f>
        <v>103.625</v>
      </c>
      <c r="E15" s="16">
        <f>'Cattle export'!J50</f>
        <v>103.97499999999999</v>
      </c>
      <c r="K15" s="45"/>
      <c r="L15" s="45">
        <v>1</v>
      </c>
      <c r="M15" s="45">
        <v>2</v>
      </c>
      <c r="N15" s="45">
        <v>3</v>
      </c>
      <c r="O15" s="45" t="s">
        <v>7</v>
      </c>
      <c r="P15" s="45" t="s">
        <v>8</v>
      </c>
      <c r="Q15" s="45" t="s">
        <v>61</v>
      </c>
      <c r="R15" s="45" t="s">
        <v>62</v>
      </c>
    </row>
    <row r="16" spans="1:30" ht="14.25" x14ac:dyDescent="0.2">
      <c r="B16" s="16"/>
      <c r="C16" s="16"/>
      <c r="D16" s="16"/>
      <c r="E16" s="16"/>
      <c r="K16" s="45" t="s">
        <v>9</v>
      </c>
      <c r="L16" s="45">
        <f t="shared" ref="L16:L21" si="4">$L$14-95</f>
        <v>225</v>
      </c>
      <c r="M16" s="313">
        <f>$L$14-3</f>
        <v>317</v>
      </c>
      <c r="N16" s="46">
        <f>$L$14+7+D4</f>
        <v>327</v>
      </c>
      <c r="O16" s="46">
        <f>$L$14+7+D4</f>
        <v>327</v>
      </c>
      <c r="P16" s="287">
        <f>$L$14-15+$D$4</f>
        <v>305</v>
      </c>
      <c r="Q16" s="45">
        <f t="shared" ref="Q16:R18" si="5">$L$14-129</f>
        <v>191</v>
      </c>
      <c r="R16" s="45">
        <f t="shared" si="5"/>
        <v>191</v>
      </c>
    </row>
    <row r="17" spans="1:18" ht="14.25" x14ac:dyDescent="0.2">
      <c r="A17" t="s">
        <v>141</v>
      </c>
      <c r="B17" s="16">
        <f>B13</f>
        <v>1065.32</v>
      </c>
      <c r="C17" s="16">
        <f>C13-C15</f>
        <v>1114.9450000000002</v>
      </c>
      <c r="D17" s="16">
        <f>D13-D15</f>
        <v>1129.615</v>
      </c>
      <c r="E17" s="16">
        <f>E13-E15</f>
        <v>-103.97499999999999</v>
      </c>
      <c r="K17" s="45" t="s">
        <v>55</v>
      </c>
      <c r="L17" s="45">
        <f t="shared" si="4"/>
        <v>225</v>
      </c>
      <c r="M17" s="313">
        <f>$L$14-3</f>
        <v>317</v>
      </c>
      <c r="N17" s="46">
        <f>$L$14+7+D4</f>
        <v>327</v>
      </c>
      <c r="O17" s="46">
        <f>$L$14+7+D4</f>
        <v>327</v>
      </c>
      <c r="P17" s="287">
        <f t="shared" ref="P17:P19" si="6">$L$14-15+$D$4</f>
        <v>305</v>
      </c>
      <c r="Q17" s="45">
        <f t="shared" si="5"/>
        <v>191</v>
      </c>
      <c r="R17" s="45">
        <f t="shared" si="5"/>
        <v>191</v>
      </c>
    </row>
    <row r="18" spans="1:18" ht="14.25" x14ac:dyDescent="0.2">
      <c r="K18" s="45" t="s">
        <v>60</v>
      </c>
      <c r="L18" s="45">
        <f t="shared" si="4"/>
        <v>225</v>
      </c>
      <c r="M18" s="313">
        <f>$L$14-10</f>
        <v>310</v>
      </c>
      <c r="N18" s="46">
        <f>$L$14+D4</f>
        <v>320</v>
      </c>
      <c r="O18" s="46">
        <f>$L$14+D4</f>
        <v>320</v>
      </c>
      <c r="P18" s="287">
        <f t="shared" si="6"/>
        <v>305</v>
      </c>
      <c r="Q18" s="45">
        <f t="shared" si="5"/>
        <v>191</v>
      </c>
      <c r="R18" s="45">
        <f t="shared" si="5"/>
        <v>191</v>
      </c>
    </row>
    <row r="19" spans="1:18" ht="14.25" x14ac:dyDescent="0.2">
      <c r="E19" s="2"/>
      <c r="K19" s="45" t="s">
        <v>11</v>
      </c>
      <c r="L19" s="45">
        <f t="shared" si="4"/>
        <v>225</v>
      </c>
      <c r="M19" s="313">
        <f>$L$14-10</f>
        <v>310</v>
      </c>
      <c r="N19" s="46">
        <f>$L$14+D4</f>
        <v>320</v>
      </c>
      <c r="O19" s="46">
        <f>$L$14+D4</f>
        <v>320</v>
      </c>
      <c r="P19" s="287">
        <f t="shared" si="6"/>
        <v>305</v>
      </c>
      <c r="Q19" s="45">
        <f>$L$14-129</f>
        <v>191</v>
      </c>
      <c r="R19" s="45">
        <f>$L$14-163</f>
        <v>157</v>
      </c>
    </row>
    <row r="20" spans="1:18" ht="14.25" x14ac:dyDescent="0.2">
      <c r="A20" s="2"/>
      <c r="B20" s="4" t="s">
        <v>15</v>
      </c>
      <c r="C20" s="4" t="s">
        <v>20</v>
      </c>
      <c r="D20" s="104" t="s">
        <v>63</v>
      </c>
      <c r="E20" s="2"/>
      <c r="K20" s="45" t="s">
        <v>56</v>
      </c>
      <c r="L20" s="45">
        <f t="shared" si="4"/>
        <v>225</v>
      </c>
      <c r="M20" s="45">
        <f>$L$14-30</f>
        <v>290</v>
      </c>
      <c r="N20" s="313">
        <f>$L$14-10</f>
        <v>310</v>
      </c>
      <c r="O20" s="313">
        <f>$L$14-10</f>
        <v>310</v>
      </c>
      <c r="P20" s="314">
        <f>$L$14-30</f>
        <v>290</v>
      </c>
      <c r="Q20" s="45">
        <f>$L$14-129</f>
        <v>191</v>
      </c>
      <c r="R20" s="45">
        <f>$L$14-163</f>
        <v>157</v>
      </c>
    </row>
    <row r="21" spans="1:18" ht="14.25" x14ac:dyDescent="0.2">
      <c r="A21" s="2" t="s">
        <v>81</v>
      </c>
      <c r="B21" s="43"/>
      <c r="C21" s="43">
        <v>5</v>
      </c>
      <c r="D21" s="57">
        <v>5</v>
      </c>
      <c r="E21" s="2">
        <f>Cattle!C17</f>
        <v>0</v>
      </c>
      <c r="K21" s="45" t="s">
        <v>59</v>
      </c>
      <c r="L21" s="45">
        <f t="shared" si="4"/>
        <v>225</v>
      </c>
      <c r="M21" s="45">
        <f>$L$14-46</f>
        <v>274</v>
      </c>
      <c r="N21" s="45">
        <f>$L$14-36</f>
        <v>284</v>
      </c>
      <c r="O21" s="45">
        <f>$L$14-36</f>
        <v>284</v>
      </c>
      <c r="P21" s="45">
        <f>$L$14-77</f>
        <v>243</v>
      </c>
      <c r="Q21" s="45">
        <f>$L$14-129</f>
        <v>191</v>
      </c>
      <c r="R21" s="45">
        <f>$L$14-163</f>
        <v>157</v>
      </c>
    </row>
    <row r="22" spans="1:18" ht="14.25" x14ac:dyDescent="0.2">
      <c r="A22" s="2" t="s">
        <v>82</v>
      </c>
      <c r="C22" s="43">
        <v>1.77</v>
      </c>
      <c r="D22" s="57">
        <v>0.9</v>
      </c>
      <c r="E22" s="2">
        <f>Cattle!C18</f>
        <v>0</v>
      </c>
      <c r="K22" s="45" t="s">
        <v>57</v>
      </c>
      <c r="L22" s="45">
        <f>$L$14-124</f>
        <v>196</v>
      </c>
      <c r="M22" s="45">
        <f>$L$14-99</f>
        <v>221</v>
      </c>
      <c r="N22" s="45">
        <f>$L$14-89</f>
        <v>231</v>
      </c>
      <c r="O22" s="45">
        <f>$L$14-89</f>
        <v>231</v>
      </c>
      <c r="P22" s="45">
        <f>$L$14-89</f>
        <v>231</v>
      </c>
      <c r="Q22" s="45">
        <f>$L$14-129</f>
        <v>191</v>
      </c>
      <c r="R22" s="45">
        <f>$L$14-163</f>
        <v>157</v>
      </c>
    </row>
    <row r="23" spans="1:18" ht="15" thickBot="1" x14ac:dyDescent="0.25">
      <c r="A23" s="222" t="s">
        <v>82</v>
      </c>
      <c r="B23" s="223"/>
      <c r="C23" s="223">
        <v>1.77</v>
      </c>
      <c r="D23" s="224"/>
      <c r="E23" s="222">
        <f>Cattle!C19</f>
        <v>0</v>
      </c>
      <c r="K23" s="45" t="s">
        <v>58</v>
      </c>
      <c r="L23" s="45">
        <f>$L$14-163</f>
        <v>157</v>
      </c>
      <c r="M23" s="45">
        <f>$L$14-173</f>
        <v>147</v>
      </c>
      <c r="N23" s="45">
        <f>$L$14-163</f>
        <v>157</v>
      </c>
      <c r="O23" s="45">
        <f>$L$14-163</f>
        <v>157</v>
      </c>
      <c r="P23" s="45">
        <f>$L$14-151</f>
        <v>169</v>
      </c>
      <c r="Q23" s="45">
        <f>$L$14-163</f>
        <v>157</v>
      </c>
      <c r="R23" s="45">
        <f>$L$14-163</f>
        <v>157</v>
      </c>
    </row>
    <row r="24" spans="1:18" ht="14.25" x14ac:dyDescent="0.2">
      <c r="A24" s="2" t="s">
        <v>64</v>
      </c>
      <c r="B24" s="43">
        <v>3.19</v>
      </c>
      <c r="C24" s="43">
        <v>2.83</v>
      </c>
      <c r="D24" s="57">
        <v>2.13</v>
      </c>
      <c r="E24" s="2">
        <f>Cattle!C21</f>
        <v>0</v>
      </c>
      <c r="G24" s="60" t="s">
        <v>64</v>
      </c>
      <c r="H24" s="61"/>
      <c r="K24" s="47"/>
      <c r="L24" s="47"/>
      <c r="M24" s="47"/>
      <c r="N24" s="47"/>
      <c r="O24" s="47"/>
      <c r="P24" s="47"/>
      <c r="Q24" s="47"/>
      <c r="R24" s="47"/>
    </row>
    <row r="25" spans="1:18" ht="14.25" x14ac:dyDescent="0.2">
      <c r="A25" s="2" t="s">
        <v>65</v>
      </c>
      <c r="B25" s="43">
        <v>6.82</v>
      </c>
      <c r="C25" s="43">
        <v>8</v>
      </c>
      <c r="D25" s="57">
        <v>8.6300000000000008</v>
      </c>
      <c r="E25" s="2">
        <f>Cattle!C22</f>
        <v>0</v>
      </c>
      <c r="G25" s="18" t="s">
        <v>69</v>
      </c>
      <c r="H25" s="19">
        <v>5</v>
      </c>
      <c r="K25" s="47" t="s">
        <v>187</v>
      </c>
      <c r="L25" s="47">
        <f>AA7</f>
        <v>354.3</v>
      </c>
      <c r="M25" s="47"/>
      <c r="N25" s="47"/>
      <c r="O25" s="47"/>
      <c r="P25" s="47"/>
      <c r="Q25" s="47"/>
      <c r="R25" s="47"/>
    </row>
    <row r="26" spans="1:18" ht="15" thickBot="1" x14ac:dyDescent="0.25">
      <c r="A26" s="2" t="s">
        <v>66</v>
      </c>
      <c r="B26" s="43"/>
      <c r="C26" s="43"/>
      <c r="D26" s="57">
        <f>IF(Cattle!C12="O36M",'Cattle data'!H25,'Cattle data'!H26)</f>
        <v>3</v>
      </c>
      <c r="E26" s="2">
        <f>Cattle!C23</f>
        <v>0</v>
      </c>
      <c r="G26" s="62" t="s">
        <v>70</v>
      </c>
      <c r="H26" s="63">
        <v>3</v>
      </c>
      <c r="K26" s="45"/>
      <c r="L26" s="45">
        <v>1</v>
      </c>
      <c r="M26" s="45">
        <v>2</v>
      </c>
      <c r="N26" s="45">
        <v>3</v>
      </c>
      <c r="O26" s="45" t="s">
        <v>7</v>
      </c>
      <c r="P26" s="45" t="s">
        <v>8</v>
      </c>
      <c r="Q26" s="45" t="s">
        <v>61</v>
      </c>
      <c r="R26" s="45" t="s">
        <v>62</v>
      </c>
    </row>
    <row r="27" spans="1:18" ht="14.25" x14ac:dyDescent="0.2">
      <c r="A27" s="2" t="s">
        <v>48</v>
      </c>
      <c r="B27" s="43">
        <v>12.67</v>
      </c>
      <c r="C27" s="43"/>
      <c r="D27" s="57"/>
      <c r="E27" s="2">
        <f>Cattle!C24</f>
        <v>0</v>
      </c>
      <c r="K27" s="45" t="s">
        <v>9</v>
      </c>
      <c r="L27" s="45"/>
      <c r="M27" s="45"/>
      <c r="N27" s="45"/>
      <c r="O27" s="45"/>
      <c r="P27" s="45"/>
      <c r="Q27" s="45"/>
      <c r="R27" s="45"/>
    </row>
    <row r="28" spans="1:18" ht="14.25" x14ac:dyDescent="0.2">
      <c r="A28" s="2" t="s">
        <v>171</v>
      </c>
      <c r="B28" s="43"/>
      <c r="C28" s="43"/>
      <c r="D28" s="57"/>
      <c r="E28" s="2">
        <f>Cattle!C25</f>
        <v>0</v>
      </c>
      <c r="K28" s="45"/>
      <c r="L28" s="45"/>
      <c r="M28" s="45"/>
      <c r="N28" s="45"/>
      <c r="O28" s="45"/>
      <c r="P28" s="45"/>
      <c r="Q28" s="45"/>
      <c r="R28" s="45"/>
    </row>
    <row r="29" spans="1:18" ht="14.25" x14ac:dyDescent="0.2">
      <c r="A29" s="2" t="s">
        <v>50</v>
      </c>
      <c r="B29" s="43"/>
      <c r="C29" s="43"/>
      <c r="D29" s="57"/>
      <c r="E29" s="2"/>
      <c r="K29" s="45" t="s">
        <v>55</v>
      </c>
      <c r="L29" s="45"/>
      <c r="M29" s="45"/>
      <c r="N29" s="45"/>
      <c r="O29" s="45"/>
      <c r="P29" s="45"/>
      <c r="Q29" s="45"/>
      <c r="R29" s="45"/>
    </row>
    <row r="30" spans="1:18" ht="14.25" x14ac:dyDescent="0.2">
      <c r="A30" s="2"/>
      <c r="B30" s="43">
        <f>B24+B25</f>
        <v>10.01</v>
      </c>
      <c r="C30" s="43">
        <f t="shared" ref="C30:E30" si="7">SUM(C21:C29)</f>
        <v>19.369999999999997</v>
      </c>
      <c r="D30" s="43">
        <f t="shared" si="7"/>
        <v>19.660000000000004</v>
      </c>
      <c r="E30" s="43">
        <f t="shared" si="7"/>
        <v>0</v>
      </c>
      <c r="K30" s="45" t="s">
        <v>60</v>
      </c>
      <c r="L30" s="45"/>
      <c r="M30" s="45"/>
      <c r="N30" s="88">
        <f>AA3</f>
        <v>363.9</v>
      </c>
      <c r="O30" s="88">
        <f>AB3</f>
        <v>362.6</v>
      </c>
      <c r="P30" s="45"/>
      <c r="Q30" s="45"/>
      <c r="R30" s="45"/>
    </row>
    <row r="31" spans="1:18" ht="14.25" x14ac:dyDescent="0.2">
      <c r="A31" s="2"/>
      <c r="B31" s="2"/>
      <c r="C31" s="2"/>
      <c r="D31" s="56"/>
      <c r="E31" s="2"/>
      <c r="K31" s="45" t="s">
        <v>11</v>
      </c>
      <c r="L31" s="45"/>
      <c r="M31" s="45"/>
      <c r="N31" s="88">
        <f t="shared" ref="N31:O33" si="8">AA4</f>
        <v>364.1</v>
      </c>
      <c r="O31" s="88">
        <f t="shared" si="8"/>
        <v>368.3</v>
      </c>
      <c r="P31" s="45"/>
      <c r="Q31" s="45"/>
      <c r="R31" s="45"/>
    </row>
    <row r="32" spans="1:18" x14ac:dyDescent="0.25">
      <c r="A32" s="2"/>
      <c r="B32" s="43">
        <f>B30/$B$5</f>
        <v>2.9441176470588235E-2</v>
      </c>
      <c r="C32" s="43">
        <f>C30/$B$5</f>
        <v>5.6970588235294113E-2</v>
      </c>
      <c r="D32" s="57">
        <f>D30/$B$5</f>
        <v>5.7823529411764718E-2</v>
      </c>
      <c r="E32" s="57">
        <f>E30/$B$5</f>
        <v>0</v>
      </c>
      <c r="K32" s="45" t="s">
        <v>56</v>
      </c>
      <c r="L32" s="45"/>
      <c r="M32" s="45"/>
      <c r="N32" s="88">
        <f t="shared" si="8"/>
        <v>355.5</v>
      </c>
      <c r="O32" s="88">
        <f t="shared" si="8"/>
        <v>356.5</v>
      </c>
      <c r="P32" s="45"/>
      <c r="Q32" s="45"/>
      <c r="R32" s="45"/>
    </row>
    <row r="33" spans="1:18" ht="14.4" thickBot="1" x14ac:dyDescent="0.3">
      <c r="K33" s="45" t="s">
        <v>59</v>
      </c>
      <c r="L33" s="45"/>
      <c r="M33" s="45"/>
      <c r="N33" s="88">
        <f t="shared" si="8"/>
        <v>325.2</v>
      </c>
      <c r="O33" s="88">
        <f t="shared" si="8"/>
        <v>325.89999999999998</v>
      </c>
      <c r="P33" s="45"/>
      <c r="Q33" s="45"/>
      <c r="R33" s="45"/>
    </row>
    <row r="34" spans="1:18" ht="14.4" thickBot="1" x14ac:dyDescent="0.3">
      <c r="A34" s="33" t="s">
        <v>73</v>
      </c>
      <c r="B34" s="34"/>
      <c r="C34" s="35"/>
      <c r="D34" s="32" t="s">
        <v>71</v>
      </c>
      <c r="G34" s="23"/>
      <c r="H34" s="23"/>
      <c r="I34" s="23"/>
      <c r="J34" s="23"/>
      <c r="K34" s="45" t="s">
        <v>57</v>
      </c>
      <c r="L34" s="45"/>
      <c r="M34" s="45"/>
      <c r="N34" s="45"/>
      <c r="O34" s="45"/>
      <c r="P34" s="45"/>
      <c r="Q34" s="45"/>
      <c r="R34" s="45"/>
    </row>
    <row r="35" spans="1:18" x14ac:dyDescent="0.25">
      <c r="A35" s="36"/>
      <c r="B35" s="5">
        <v>229.1</v>
      </c>
      <c r="C35" s="41" t="s">
        <v>46</v>
      </c>
      <c r="D35" s="27"/>
      <c r="G35" s="23"/>
      <c r="H35" s="23"/>
      <c r="I35" s="23"/>
      <c r="J35" s="23"/>
      <c r="K35" s="45" t="s">
        <v>58</v>
      </c>
      <c r="L35" s="45"/>
      <c r="M35" s="45"/>
      <c r="N35" s="45"/>
      <c r="O35" s="45"/>
      <c r="P35" s="45"/>
      <c r="Q35" s="45"/>
      <c r="R35" s="45"/>
    </row>
    <row r="36" spans="1:18" x14ac:dyDescent="0.25">
      <c r="A36" s="36"/>
      <c r="B36" s="5">
        <v>250.1</v>
      </c>
      <c r="C36" s="37">
        <v>25</v>
      </c>
      <c r="D36" s="28" t="s">
        <v>69</v>
      </c>
      <c r="E36" s="23"/>
      <c r="F36" s="23"/>
      <c r="G36" s="23"/>
      <c r="H36" s="25"/>
      <c r="I36" s="23"/>
      <c r="J36" s="23"/>
      <c r="K36" s="23"/>
    </row>
    <row r="37" spans="1:18" x14ac:dyDescent="0.25">
      <c r="A37" s="36"/>
      <c r="B37">
        <v>360</v>
      </c>
      <c r="C37" s="37">
        <v>10</v>
      </c>
      <c r="D37" s="29" t="s">
        <v>70</v>
      </c>
      <c r="E37" s="23"/>
      <c r="F37" s="23"/>
      <c r="G37" s="23"/>
      <c r="H37" s="25"/>
      <c r="I37" s="23"/>
      <c r="J37" s="23"/>
      <c r="K37" s="23"/>
    </row>
    <row r="38" spans="1:18" x14ac:dyDescent="0.25">
      <c r="A38" s="36"/>
      <c r="B38" s="5">
        <v>380</v>
      </c>
      <c r="C38" s="37">
        <v>25</v>
      </c>
      <c r="D38" s="29"/>
      <c r="E38" s="23"/>
      <c r="F38" s="23"/>
      <c r="G38" s="23"/>
      <c r="H38" s="25"/>
      <c r="I38" s="23"/>
      <c r="J38" s="23"/>
      <c r="K38" s="23"/>
    </row>
    <row r="39" spans="1:18" x14ac:dyDescent="0.25">
      <c r="A39" s="36"/>
      <c r="B39" s="5">
        <v>400</v>
      </c>
      <c r="C39" s="37"/>
      <c r="D39" s="29"/>
      <c r="E39" s="23"/>
      <c r="F39" s="23"/>
      <c r="G39" s="23"/>
      <c r="H39" s="25"/>
      <c r="I39" s="23"/>
      <c r="J39" s="23"/>
      <c r="K39" s="23"/>
    </row>
    <row r="40" spans="1:18" x14ac:dyDescent="0.25">
      <c r="A40" s="36" t="s">
        <v>74</v>
      </c>
      <c r="B40" s="5"/>
      <c r="C40" s="37"/>
      <c r="D40" s="30"/>
      <c r="E40" s="23"/>
      <c r="F40" s="26"/>
      <c r="G40" s="23"/>
      <c r="H40" s="23"/>
      <c r="I40" s="23"/>
      <c r="J40" s="23"/>
      <c r="K40" s="23"/>
    </row>
    <row r="41" spans="1:18" x14ac:dyDescent="0.25">
      <c r="A41" s="36"/>
      <c r="B41" s="5">
        <v>180</v>
      </c>
      <c r="C41" s="37"/>
      <c r="D41" s="30"/>
      <c r="E41" s="23"/>
      <c r="F41" s="25"/>
      <c r="G41" s="23"/>
      <c r="H41" s="23"/>
      <c r="I41" s="23"/>
      <c r="J41" s="23"/>
      <c r="K41" s="23"/>
    </row>
    <row r="42" spans="1:18" x14ac:dyDescent="0.25">
      <c r="A42" s="36"/>
      <c r="B42" s="5">
        <v>190</v>
      </c>
      <c r="C42" s="37">
        <v>80</v>
      </c>
      <c r="D42" s="30"/>
      <c r="E42" s="23"/>
      <c r="F42" s="23"/>
      <c r="G42" s="23"/>
      <c r="H42" s="23"/>
      <c r="I42" s="23"/>
      <c r="J42" s="23"/>
      <c r="K42" s="23"/>
    </row>
    <row r="43" spans="1:18" ht="14.4" thickBot="1" x14ac:dyDescent="0.3">
      <c r="A43" s="36"/>
      <c r="B43" s="5">
        <v>200</v>
      </c>
      <c r="C43" s="37">
        <v>50</v>
      </c>
      <c r="D43" s="31"/>
      <c r="E43" s="23"/>
      <c r="G43" s="23"/>
      <c r="H43" s="23"/>
      <c r="I43" s="23"/>
      <c r="J43" s="23"/>
      <c r="K43" s="23"/>
    </row>
    <row r="44" spans="1:18" x14ac:dyDescent="0.25">
      <c r="A44" s="36"/>
      <c r="B44" s="5">
        <v>210</v>
      </c>
      <c r="C44" s="37">
        <v>35</v>
      </c>
      <c r="D44" s="23"/>
      <c r="E44" s="23"/>
      <c r="G44" s="23"/>
      <c r="H44" s="23"/>
      <c r="I44" s="23"/>
      <c r="J44" s="23"/>
      <c r="K44" s="23"/>
    </row>
    <row r="45" spans="1:18" x14ac:dyDescent="0.25">
      <c r="A45" s="36"/>
      <c r="B45" s="5">
        <v>220</v>
      </c>
      <c r="C45" s="37">
        <v>30</v>
      </c>
      <c r="D45" s="24"/>
      <c r="E45" s="23"/>
      <c r="G45" s="23"/>
      <c r="H45" s="23"/>
      <c r="I45" s="23"/>
      <c r="J45" s="23"/>
      <c r="K45" s="23"/>
    </row>
    <row r="46" spans="1:18" x14ac:dyDescent="0.25">
      <c r="A46" s="36"/>
      <c r="B46" s="5">
        <v>230</v>
      </c>
      <c r="C46" s="37">
        <v>25</v>
      </c>
      <c r="D46" s="23"/>
      <c r="E46" s="23"/>
    </row>
    <row r="47" spans="1:18" x14ac:dyDescent="0.25">
      <c r="A47" s="36"/>
      <c r="B47" s="5">
        <v>240</v>
      </c>
      <c r="C47" s="37">
        <v>20</v>
      </c>
      <c r="D47" s="24"/>
      <c r="E47" s="23"/>
    </row>
    <row r="48" spans="1:18" x14ac:dyDescent="0.25">
      <c r="A48" s="36"/>
      <c r="B48" s="5">
        <v>260</v>
      </c>
      <c r="C48" s="37">
        <v>15</v>
      </c>
    </row>
    <row r="49" spans="1:3" x14ac:dyDescent="0.25">
      <c r="A49" s="36"/>
      <c r="B49" s="5">
        <v>270</v>
      </c>
      <c r="C49" s="37">
        <v>6</v>
      </c>
    </row>
    <row r="50" spans="1:3" x14ac:dyDescent="0.25">
      <c r="A50" s="36"/>
      <c r="B50" s="5">
        <v>400</v>
      </c>
      <c r="C50" s="37">
        <v>10</v>
      </c>
    </row>
    <row r="51" spans="1:3" x14ac:dyDescent="0.25">
      <c r="A51" s="36"/>
      <c r="B51" s="5">
        <v>415</v>
      </c>
      <c r="C51" s="37">
        <v>20</v>
      </c>
    </row>
    <row r="52" spans="1:3" ht="14.4" thickBot="1" x14ac:dyDescent="0.3">
      <c r="A52" s="38"/>
      <c r="B52" s="39">
        <v>440</v>
      </c>
      <c r="C52" s="40"/>
    </row>
  </sheetData>
  <mergeCells count="5">
    <mergeCell ref="AC1:AD1"/>
    <mergeCell ref="U1:V1"/>
    <mergeCell ref="W1:X1"/>
    <mergeCell ref="Y1:Z1"/>
    <mergeCell ref="AA1:AB1"/>
  </mergeCells>
  <conditionalFormatting sqref="V8">
    <cfRule type="cellIs" dxfId="4" priority="5" operator="lessThan">
      <formula>0</formula>
    </cfRule>
  </conditionalFormatting>
  <conditionalFormatting sqref="AB8">
    <cfRule type="cellIs" dxfId="3" priority="4" operator="lessThan">
      <formula>0</formula>
    </cfRule>
  </conditionalFormatting>
  <conditionalFormatting sqref="AB7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lessThan">
      <formula>0</formula>
    </cfRule>
  </conditionalFormatting>
  <hyperlinks>
    <hyperlink ref="T10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16"/>
  <sheetViews>
    <sheetView workbookViewId="0">
      <selection activeCell="C8" sqref="C8"/>
    </sheetView>
  </sheetViews>
  <sheetFormatPr defaultRowHeight="13.8" x14ac:dyDescent="0.25"/>
  <sheetData>
    <row r="2" spans="1:18" x14ac:dyDescent="0.2">
      <c r="A2" t="s">
        <v>52</v>
      </c>
      <c r="K2" t="s">
        <v>54</v>
      </c>
    </row>
    <row r="3" spans="1:18" x14ac:dyDescent="0.2">
      <c r="A3" t="s">
        <v>51</v>
      </c>
      <c r="B3">
        <v>320</v>
      </c>
      <c r="K3" t="s">
        <v>53</v>
      </c>
      <c r="L3">
        <v>300</v>
      </c>
    </row>
    <row r="4" spans="1:18" x14ac:dyDescent="0.2">
      <c r="A4" s="2"/>
      <c r="B4" s="17">
        <v>1</v>
      </c>
      <c r="C4" s="17">
        <v>2</v>
      </c>
      <c r="D4" s="17" t="s">
        <v>5</v>
      </c>
      <c r="E4" s="17" t="s">
        <v>6</v>
      </c>
      <c r="F4" s="17" t="s">
        <v>7</v>
      </c>
      <c r="G4" s="17" t="s">
        <v>8</v>
      </c>
      <c r="H4" s="17">
        <v>5</v>
      </c>
      <c r="K4" s="17"/>
      <c r="L4" s="17">
        <v>1</v>
      </c>
      <c r="M4" s="17">
        <v>2</v>
      </c>
      <c r="N4" s="17" t="s">
        <v>5</v>
      </c>
      <c r="O4" s="17" t="s">
        <v>6</v>
      </c>
      <c r="P4" s="17" t="s">
        <v>7</v>
      </c>
      <c r="Q4" s="17" t="s">
        <v>8</v>
      </c>
      <c r="R4" s="17">
        <v>5</v>
      </c>
    </row>
    <row r="5" spans="1:18" x14ac:dyDescent="0.2">
      <c r="A5" s="17" t="s">
        <v>9</v>
      </c>
      <c r="B5" s="17">
        <f>$B$3-60</f>
        <v>260</v>
      </c>
      <c r="C5" s="17">
        <f>$B$3+10</f>
        <v>330</v>
      </c>
      <c r="D5" s="17">
        <f>$B$3+10</f>
        <v>330</v>
      </c>
      <c r="E5" s="17">
        <f>$B$3</f>
        <v>320</v>
      </c>
      <c r="F5" s="17">
        <f>$B$3-40</f>
        <v>280</v>
      </c>
      <c r="G5" s="17">
        <f>$B$3-75</f>
        <v>245</v>
      </c>
      <c r="H5" s="17">
        <f>$B$3-100</f>
        <v>220</v>
      </c>
      <c r="K5" s="17" t="s">
        <v>9</v>
      </c>
      <c r="L5" s="17">
        <f>$L$3-30</f>
        <v>270</v>
      </c>
      <c r="M5" s="17">
        <f>$L$3+20</f>
        <v>320</v>
      </c>
      <c r="N5" s="17">
        <f>$L$3+20</f>
        <v>320</v>
      </c>
      <c r="O5" s="17">
        <f>$L$3</f>
        <v>300</v>
      </c>
      <c r="P5" s="17">
        <f>$L$3-15</f>
        <v>285</v>
      </c>
      <c r="Q5" s="17">
        <f>$L$3-30</f>
        <v>270</v>
      </c>
      <c r="R5" s="17">
        <f>$L$3-60</f>
        <v>240</v>
      </c>
    </row>
    <row r="6" spans="1:18" x14ac:dyDescent="0.2">
      <c r="A6" s="17" t="s">
        <v>10</v>
      </c>
      <c r="B6" s="17">
        <f>$B$3-60</f>
        <v>260</v>
      </c>
      <c r="C6" s="17">
        <f>$B$3+10</f>
        <v>330</v>
      </c>
      <c r="D6" s="17">
        <f>$B$3+10</f>
        <v>330</v>
      </c>
      <c r="E6" s="17">
        <f>$B$3</f>
        <v>320</v>
      </c>
      <c r="F6" s="17">
        <f>$B$3-40</f>
        <v>280</v>
      </c>
      <c r="G6" s="17">
        <f>$B$3-75</f>
        <v>245</v>
      </c>
      <c r="H6" s="17">
        <f>$B$3-100</f>
        <v>220</v>
      </c>
      <c r="K6" s="17" t="s">
        <v>10</v>
      </c>
      <c r="L6" s="17">
        <f>$L$3-30</f>
        <v>270</v>
      </c>
      <c r="M6" s="17">
        <f>$L$3+10</f>
        <v>310</v>
      </c>
      <c r="N6" s="17">
        <f>$L$3+10</f>
        <v>310</v>
      </c>
      <c r="O6" s="17">
        <f>$L$3</f>
        <v>300</v>
      </c>
      <c r="P6" s="17">
        <f>$L$3-15</f>
        <v>285</v>
      </c>
      <c r="Q6" s="17">
        <f>$L$3-30</f>
        <v>270</v>
      </c>
      <c r="R6" s="17">
        <f>$L$3-60</f>
        <v>240</v>
      </c>
    </row>
    <row r="7" spans="1:18" x14ac:dyDescent="0.2">
      <c r="A7" s="17" t="s">
        <v>11</v>
      </c>
      <c r="B7" s="17">
        <f>$B$3-60</f>
        <v>260</v>
      </c>
      <c r="C7" s="17">
        <f>$B$3</f>
        <v>320</v>
      </c>
      <c r="D7" s="17">
        <f>$B$3</f>
        <v>320</v>
      </c>
      <c r="E7" s="17">
        <f>$B$3</f>
        <v>320</v>
      </c>
      <c r="F7" s="17">
        <f>$B$3-40</f>
        <v>280</v>
      </c>
      <c r="G7" s="17">
        <f>$B$3-75</f>
        <v>245</v>
      </c>
      <c r="H7" s="17">
        <f>$B$3-100</f>
        <v>220</v>
      </c>
      <c r="K7" s="17" t="s">
        <v>11</v>
      </c>
      <c r="L7" s="17">
        <f>$L$3-50</f>
        <v>250</v>
      </c>
      <c r="M7" s="17">
        <f>$L$3</f>
        <v>300</v>
      </c>
      <c r="N7" s="17">
        <f>$L$3</f>
        <v>300</v>
      </c>
      <c r="O7" s="17">
        <f>$L$3-4</f>
        <v>296</v>
      </c>
      <c r="P7" s="17">
        <f>$L$3-20</f>
        <v>280</v>
      </c>
      <c r="Q7" s="17">
        <f>$L$3-40</f>
        <v>260</v>
      </c>
      <c r="R7" s="17">
        <f>$L$3-60</f>
        <v>240</v>
      </c>
    </row>
    <row r="8" spans="1:18" x14ac:dyDescent="0.2">
      <c r="A8" s="17" t="s">
        <v>12</v>
      </c>
      <c r="B8" s="17">
        <f>B3-101</f>
        <v>219</v>
      </c>
      <c r="C8" s="17">
        <f>B3-20</f>
        <v>300</v>
      </c>
      <c r="D8" s="17">
        <f>B3-20</f>
        <v>300</v>
      </c>
      <c r="E8" s="17">
        <f>B3-30</f>
        <v>290</v>
      </c>
      <c r="F8" s="17">
        <f>$B$3-40</f>
        <v>280</v>
      </c>
      <c r="G8" s="17">
        <f>$B$3-75</f>
        <v>245</v>
      </c>
      <c r="H8" s="17">
        <f>$B$3-100</f>
        <v>220</v>
      </c>
      <c r="K8" s="17" t="s">
        <v>12</v>
      </c>
      <c r="L8" s="17">
        <f>$L$3-75</f>
        <v>225</v>
      </c>
      <c r="M8" s="17">
        <f>$L$3-10</f>
        <v>290</v>
      </c>
      <c r="N8" s="17">
        <f>$L$3-5</f>
        <v>295</v>
      </c>
      <c r="O8" s="17">
        <f>$L$3-15</f>
        <v>285</v>
      </c>
      <c r="P8" s="17">
        <f>$L$3-50</f>
        <v>250</v>
      </c>
      <c r="Q8" s="17">
        <f>$L$3-60</f>
        <v>240</v>
      </c>
      <c r="R8" s="17">
        <f>$L$3-60</f>
        <v>240</v>
      </c>
    </row>
    <row r="9" spans="1:18" x14ac:dyDescent="0.2">
      <c r="A9" s="17" t="s">
        <v>13</v>
      </c>
      <c r="B9" s="17" t="s">
        <v>11</v>
      </c>
      <c r="C9" s="17" t="s">
        <v>11</v>
      </c>
      <c r="D9" s="17" t="s">
        <v>11</v>
      </c>
      <c r="E9" s="17" t="s">
        <v>11</v>
      </c>
      <c r="F9" s="17" t="s">
        <v>11</v>
      </c>
      <c r="G9" s="17" t="s">
        <v>11</v>
      </c>
      <c r="H9" s="17" t="s">
        <v>11</v>
      </c>
      <c r="K9" s="17" t="s">
        <v>13</v>
      </c>
      <c r="L9" s="17" t="s">
        <v>11</v>
      </c>
      <c r="M9" s="17" t="s">
        <v>11</v>
      </c>
      <c r="N9" s="17" t="s">
        <v>11</v>
      </c>
      <c r="O9" s="17" t="s">
        <v>11</v>
      </c>
      <c r="P9" s="17" t="s">
        <v>11</v>
      </c>
      <c r="Q9" s="17" t="s">
        <v>11</v>
      </c>
      <c r="R9" s="17" t="s">
        <v>11</v>
      </c>
    </row>
    <row r="11" spans="1:18" x14ac:dyDescent="0.2">
      <c r="A11" s="17"/>
      <c r="B11" s="17">
        <v>1</v>
      </c>
      <c r="C11" s="17">
        <v>2</v>
      </c>
      <c r="D11" s="17" t="s">
        <v>5</v>
      </c>
      <c r="E11" s="17" t="s">
        <v>6</v>
      </c>
      <c r="F11" s="17" t="s">
        <v>7</v>
      </c>
      <c r="G11" s="17" t="s">
        <v>8</v>
      </c>
      <c r="H11" s="17">
        <v>5</v>
      </c>
      <c r="K11" s="17"/>
      <c r="L11" s="17">
        <v>1</v>
      </c>
      <c r="M11" s="17">
        <v>2</v>
      </c>
      <c r="N11" s="17" t="s">
        <v>5</v>
      </c>
      <c r="O11" s="17" t="s">
        <v>6</v>
      </c>
      <c r="P11" s="17" t="s">
        <v>7</v>
      </c>
      <c r="Q11" s="17" t="s">
        <v>8</v>
      </c>
      <c r="R11" s="17">
        <v>5</v>
      </c>
    </row>
    <row r="12" spans="1:18" x14ac:dyDescent="0.2">
      <c r="A12" s="17" t="s">
        <v>9</v>
      </c>
      <c r="B12" s="17">
        <v>-60</v>
      </c>
      <c r="C12" s="17">
        <v>-10</v>
      </c>
      <c r="D12" s="17">
        <v>-10</v>
      </c>
      <c r="E12" s="17"/>
      <c r="F12" s="17">
        <v>-40</v>
      </c>
      <c r="G12" s="17">
        <v>-75</v>
      </c>
      <c r="H12" s="17">
        <v>-100</v>
      </c>
      <c r="K12" s="17" t="s">
        <v>9</v>
      </c>
      <c r="L12" s="17">
        <v>-30</v>
      </c>
      <c r="M12" s="17">
        <v>20</v>
      </c>
      <c r="N12" s="17">
        <v>20</v>
      </c>
      <c r="O12" s="17"/>
      <c r="P12" s="17">
        <v>-15</v>
      </c>
      <c r="Q12" s="17">
        <v>-30</v>
      </c>
      <c r="R12" s="17">
        <v>-60</v>
      </c>
    </row>
    <row r="13" spans="1:18" x14ac:dyDescent="0.2">
      <c r="A13" s="17" t="s">
        <v>10</v>
      </c>
      <c r="B13" s="17">
        <v>-60</v>
      </c>
      <c r="C13" s="17">
        <v>-10</v>
      </c>
      <c r="D13" s="17">
        <v>-10</v>
      </c>
      <c r="E13" s="17"/>
      <c r="F13" s="17">
        <v>-40</v>
      </c>
      <c r="G13" s="17">
        <v>-75</v>
      </c>
      <c r="H13" s="17">
        <v>-100</v>
      </c>
      <c r="K13" s="17" t="s">
        <v>10</v>
      </c>
      <c r="L13" s="17">
        <v>-30</v>
      </c>
      <c r="M13" s="17">
        <v>10</v>
      </c>
      <c r="N13" s="17">
        <v>10</v>
      </c>
      <c r="O13" s="17"/>
      <c r="P13" s="17">
        <v>-15</v>
      </c>
      <c r="Q13" s="17">
        <v>-30</v>
      </c>
      <c r="R13" s="17">
        <v>-60</v>
      </c>
    </row>
    <row r="14" spans="1:18" x14ac:dyDescent="0.2">
      <c r="A14" s="17" t="s">
        <v>11</v>
      </c>
      <c r="B14" s="17">
        <v>-60</v>
      </c>
      <c r="C14" s="17"/>
      <c r="D14" s="17"/>
      <c r="E14" s="17"/>
      <c r="F14" s="17">
        <v>-40</v>
      </c>
      <c r="G14" s="17">
        <v>-75</v>
      </c>
      <c r="H14" s="17">
        <v>-100</v>
      </c>
      <c r="K14" s="17" t="s">
        <v>11</v>
      </c>
      <c r="L14" s="17">
        <v>-50</v>
      </c>
      <c r="M14" s="17"/>
      <c r="N14" s="17"/>
      <c r="O14" s="17">
        <v>-4</v>
      </c>
      <c r="P14" s="17">
        <v>-20</v>
      </c>
      <c r="Q14" s="17">
        <v>-40</v>
      </c>
      <c r="R14" s="17">
        <v>-60</v>
      </c>
    </row>
    <row r="15" spans="1:18" x14ac:dyDescent="0.2">
      <c r="A15" s="17" t="s">
        <v>12</v>
      </c>
      <c r="B15" s="17">
        <v>-101</v>
      </c>
      <c r="C15" s="17">
        <v>-20</v>
      </c>
      <c r="D15" s="17">
        <v>-20</v>
      </c>
      <c r="E15" s="17">
        <v>-30</v>
      </c>
      <c r="F15" s="17">
        <v>-40</v>
      </c>
      <c r="G15" s="17">
        <v>-75</v>
      </c>
      <c r="H15" s="17">
        <v>-100</v>
      </c>
      <c r="K15" s="17" t="s">
        <v>12</v>
      </c>
      <c r="L15" s="17">
        <v>-75</v>
      </c>
      <c r="M15" s="17">
        <v>-10</v>
      </c>
      <c r="N15" s="17">
        <v>-5</v>
      </c>
      <c r="O15" s="17">
        <v>-15</v>
      </c>
      <c r="P15" s="22">
        <v>-50</v>
      </c>
      <c r="Q15" s="17">
        <v>-60</v>
      </c>
      <c r="R15" s="17">
        <v>-60</v>
      </c>
    </row>
    <row r="16" spans="1:18" x14ac:dyDescent="0.2">
      <c r="A16" s="17" t="s">
        <v>13</v>
      </c>
      <c r="B16" s="17" t="s">
        <v>11</v>
      </c>
      <c r="C16" s="17" t="s">
        <v>11</v>
      </c>
      <c r="D16" s="17" t="s">
        <v>11</v>
      </c>
      <c r="E16" s="17" t="s">
        <v>11</v>
      </c>
      <c r="F16" s="17" t="s">
        <v>11</v>
      </c>
      <c r="G16" s="17" t="s">
        <v>11</v>
      </c>
      <c r="H16" s="17" t="s">
        <v>11</v>
      </c>
      <c r="K16" s="17" t="s">
        <v>13</v>
      </c>
      <c r="L16" s="17" t="s">
        <v>11</v>
      </c>
      <c r="M16" s="17" t="s">
        <v>11</v>
      </c>
      <c r="N16" s="17" t="s">
        <v>11</v>
      </c>
      <c r="O16" s="17" t="s">
        <v>11</v>
      </c>
      <c r="P16" s="17" t="s">
        <v>11</v>
      </c>
      <c r="Q16" s="17" t="s">
        <v>11</v>
      </c>
      <c r="R16" s="17" t="s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O65"/>
  <sheetViews>
    <sheetView tabSelected="1" zoomScaleNormal="100" workbookViewId="0">
      <selection activeCell="L8" sqref="L8"/>
    </sheetView>
  </sheetViews>
  <sheetFormatPr defaultColWidth="9" defaultRowHeight="13.8" x14ac:dyDescent="0.25"/>
  <cols>
    <col min="1" max="1" width="7" style="64" customWidth="1"/>
    <col min="2" max="3" width="9" style="64"/>
    <col min="4" max="4" width="9.3984375" style="64" customWidth="1"/>
    <col min="5" max="5" width="10.5" style="64" customWidth="1"/>
    <col min="6" max="7" width="9.09765625" style="64" bestFit="1" customWidth="1"/>
    <col min="8" max="8" width="11.09765625" style="64" bestFit="1" customWidth="1"/>
    <col min="9" max="9" width="11.3984375" style="64" customWidth="1"/>
    <col min="10" max="10" width="11.09765625" style="64" bestFit="1" customWidth="1"/>
    <col min="11" max="13" width="9" style="64"/>
    <col min="14" max="14" width="9.3984375" style="64" bestFit="1" customWidth="1"/>
    <col min="15" max="16384" width="9" style="64"/>
  </cols>
  <sheetData>
    <row r="1" spans="1:11" ht="14.25" x14ac:dyDescent="0.2">
      <c r="A1" s="150"/>
      <c r="B1" s="119" t="s">
        <v>156</v>
      </c>
      <c r="C1" s="90"/>
      <c r="D1" s="90"/>
      <c r="E1" s="150"/>
      <c r="F1" s="150"/>
      <c r="G1" s="150"/>
      <c r="H1" s="150"/>
      <c r="I1" s="150"/>
      <c r="J1" s="150"/>
      <c r="K1" s="150"/>
    </row>
    <row r="2" spans="1:11" ht="14.25" x14ac:dyDescent="0.2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4.25" x14ac:dyDescent="0.2">
      <c r="A3" s="150"/>
      <c r="B3" s="174" t="s">
        <v>153</v>
      </c>
      <c r="C3" s="173"/>
      <c r="D3" s="173"/>
      <c r="E3" s="173"/>
      <c r="F3" s="173"/>
      <c r="G3" s="143"/>
      <c r="H3" s="150"/>
      <c r="I3" s="150"/>
      <c r="J3" s="150"/>
      <c r="K3" s="150"/>
    </row>
    <row r="4" spans="1:11" ht="14.25" x14ac:dyDescent="0.2">
      <c r="A4" s="150"/>
      <c r="B4" s="95"/>
      <c r="C4" s="95"/>
      <c r="D4" s="95"/>
      <c r="E4" s="95"/>
      <c r="F4" s="95"/>
      <c r="G4" s="95"/>
      <c r="H4" s="95"/>
      <c r="I4" s="95"/>
      <c r="J4" s="95"/>
      <c r="K4" s="150"/>
    </row>
    <row r="5" spans="1:11" ht="14.25" x14ac:dyDescent="0.2">
      <c r="A5" s="150"/>
      <c r="B5" s="150"/>
      <c r="C5" s="150"/>
      <c r="D5" s="150"/>
      <c r="E5" s="175" t="s">
        <v>102</v>
      </c>
      <c r="F5" s="95"/>
      <c r="G5" s="95"/>
      <c r="H5" s="95"/>
      <c r="I5" s="95"/>
      <c r="J5" s="95"/>
      <c r="K5" s="150"/>
    </row>
    <row r="6" spans="1:11" ht="14.25" x14ac:dyDescent="0.2">
      <c r="A6" s="150"/>
      <c r="B6" s="340" t="s">
        <v>143</v>
      </c>
      <c r="C6" s="341"/>
      <c r="D6" s="342"/>
      <c r="E6" s="145">
        <v>40</v>
      </c>
      <c r="F6" s="150"/>
      <c r="G6" s="150"/>
      <c r="H6" s="150"/>
      <c r="I6" s="150"/>
      <c r="J6" s="150"/>
      <c r="K6" s="150"/>
    </row>
    <row r="7" spans="1:11" ht="14.25" x14ac:dyDescent="0.2">
      <c r="A7" s="150"/>
      <c r="B7" s="340" t="s">
        <v>164</v>
      </c>
      <c r="C7" s="341"/>
      <c r="D7" s="342"/>
      <c r="E7" s="146">
        <v>3.5</v>
      </c>
      <c r="F7" s="150"/>
      <c r="G7" s="150"/>
      <c r="H7" s="150"/>
      <c r="I7" s="150"/>
      <c r="J7" s="150"/>
      <c r="K7" s="150"/>
    </row>
    <row r="8" spans="1:11" ht="14.25" x14ac:dyDescent="0.2">
      <c r="A8" s="150"/>
      <c r="B8" s="337" t="s">
        <v>105</v>
      </c>
      <c r="C8" s="338"/>
      <c r="D8" s="339"/>
      <c r="E8" s="147">
        <v>300</v>
      </c>
      <c r="F8" s="150"/>
      <c r="G8" s="150"/>
      <c r="H8" s="150"/>
      <c r="I8" s="150"/>
      <c r="J8" s="150"/>
      <c r="K8" s="150"/>
    </row>
    <row r="9" spans="1:11" ht="14.25" x14ac:dyDescent="0.2">
      <c r="A9" s="150"/>
      <c r="B9" s="337" t="s">
        <v>106</v>
      </c>
      <c r="C9" s="338"/>
      <c r="D9" s="339"/>
      <c r="E9" s="148">
        <v>0.47499999999999998</v>
      </c>
      <c r="F9" s="150"/>
      <c r="G9" s="150"/>
      <c r="H9" s="150"/>
      <c r="I9" s="150"/>
      <c r="J9" s="150"/>
      <c r="K9" s="150"/>
    </row>
    <row r="10" spans="1:11" ht="14.25" x14ac:dyDescent="0.2">
      <c r="A10" s="150"/>
      <c r="B10" s="337" t="s">
        <v>107</v>
      </c>
      <c r="C10" s="338"/>
      <c r="D10" s="339"/>
      <c r="E10" s="146">
        <v>60</v>
      </c>
      <c r="F10" s="150"/>
      <c r="G10" s="150"/>
      <c r="H10" s="150"/>
      <c r="I10" s="150"/>
      <c r="J10" s="150"/>
      <c r="K10" s="150"/>
    </row>
    <row r="11" spans="1:11" ht="14.25" x14ac:dyDescent="0.2">
      <c r="A11" s="150"/>
      <c r="B11" s="337" t="s">
        <v>108</v>
      </c>
      <c r="C11" s="338"/>
      <c r="D11" s="339"/>
      <c r="E11" s="146">
        <v>2333</v>
      </c>
      <c r="F11" s="150"/>
      <c r="G11" s="150"/>
      <c r="H11" s="150"/>
      <c r="I11" s="150"/>
      <c r="J11" s="150"/>
      <c r="K11" s="150"/>
    </row>
    <row r="12" spans="1:11" ht="14.25" x14ac:dyDescent="0.2">
      <c r="A12" s="150"/>
      <c r="B12" s="337" t="s">
        <v>109</v>
      </c>
      <c r="C12" s="338"/>
      <c r="D12" s="339"/>
      <c r="E12" s="146">
        <v>800</v>
      </c>
      <c r="F12" s="150"/>
      <c r="G12" s="150"/>
      <c r="H12" s="150"/>
      <c r="I12" s="150"/>
      <c r="J12" s="150"/>
      <c r="K12" s="150"/>
    </row>
    <row r="13" spans="1:11" ht="14.25" x14ac:dyDescent="0.2">
      <c r="A13" s="150"/>
      <c r="B13" s="337" t="s">
        <v>110</v>
      </c>
      <c r="C13" s="338"/>
      <c r="D13" s="339"/>
      <c r="E13" s="146">
        <v>240</v>
      </c>
      <c r="F13" s="150"/>
      <c r="G13" s="150"/>
      <c r="H13" s="150"/>
      <c r="I13" s="150"/>
      <c r="J13" s="150"/>
      <c r="K13" s="150"/>
    </row>
    <row r="14" spans="1:11" ht="14.25" x14ac:dyDescent="0.2">
      <c r="A14" s="150"/>
      <c r="B14" s="340" t="s">
        <v>155</v>
      </c>
      <c r="C14" s="341"/>
      <c r="D14" s="342"/>
      <c r="E14" s="146">
        <v>5.4</v>
      </c>
      <c r="F14" s="150"/>
      <c r="G14" s="150"/>
      <c r="H14" s="150"/>
      <c r="I14" s="150"/>
      <c r="J14" s="150"/>
      <c r="K14" s="150"/>
    </row>
    <row r="15" spans="1:11" ht="14.25" x14ac:dyDescent="0.2">
      <c r="A15" s="150"/>
      <c r="B15" s="337" t="s">
        <v>112</v>
      </c>
      <c r="C15" s="338"/>
      <c r="D15" s="339"/>
      <c r="E15" s="146">
        <v>4.55</v>
      </c>
      <c r="F15" s="150"/>
      <c r="G15" s="150"/>
      <c r="H15" s="150"/>
      <c r="I15" s="150"/>
      <c r="J15" s="150"/>
      <c r="K15" s="150"/>
    </row>
    <row r="16" spans="1:11" ht="14.25" x14ac:dyDescent="0.2">
      <c r="A16" s="150"/>
      <c r="B16" s="337" t="s">
        <v>50</v>
      </c>
      <c r="C16" s="338"/>
      <c r="D16" s="339"/>
      <c r="E16" s="146">
        <v>8.1999999999999993</v>
      </c>
      <c r="F16" s="150"/>
      <c r="G16" s="150"/>
      <c r="H16" s="150"/>
      <c r="I16" s="150"/>
      <c r="J16" s="150"/>
      <c r="K16" s="150"/>
    </row>
    <row r="17" spans="1:12" ht="14.25" x14ac:dyDescent="0.2">
      <c r="A17" s="150"/>
      <c r="B17" s="337" t="s">
        <v>113</v>
      </c>
      <c r="C17" s="338"/>
      <c r="D17" s="339"/>
      <c r="E17" s="149">
        <v>0.04</v>
      </c>
      <c r="F17" s="150"/>
      <c r="G17" s="150"/>
      <c r="H17" s="150"/>
      <c r="I17" s="150"/>
      <c r="J17" s="150"/>
      <c r="K17" s="150"/>
    </row>
    <row r="18" spans="1:12" x14ac:dyDescent="0.25">
      <c r="A18" s="150"/>
      <c r="B18" s="337" t="s">
        <v>159</v>
      </c>
      <c r="C18" s="338"/>
      <c r="D18" s="339"/>
      <c r="E18" s="146">
        <v>0.1</v>
      </c>
      <c r="F18" s="150"/>
      <c r="G18" s="150"/>
      <c r="H18" s="150"/>
      <c r="I18" s="150"/>
      <c r="J18" s="150"/>
      <c r="K18" s="150"/>
    </row>
    <row r="19" spans="1:12" ht="14.25" x14ac:dyDescent="0.2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12" ht="14.25" x14ac:dyDescent="0.2">
      <c r="A20" s="150"/>
      <c r="B20" s="111" t="s">
        <v>142</v>
      </c>
      <c r="C20" s="111"/>
      <c r="D20" s="111"/>
      <c r="E20" s="150"/>
      <c r="F20" s="150"/>
      <c r="G20" s="150"/>
      <c r="H20" s="150"/>
      <c r="I20" s="150"/>
      <c r="J20" s="150"/>
      <c r="K20" s="150"/>
    </row>
    <row r="21" spans="1:12" ht="14.25" x14ac:dyDescent="0.2">
      <c r="A21" s="150"/>
      <c r="B21" s="150"/>
      <c r="C21" s="150"/>
      <c r="D21" s="150"/>
      <c r="E21" s="150"/>
      <c r="F21" s="150"/>
      <c r="G21" s="150"/>
      <c r="H21" s="112" t="s">
        <v>117</v>
      </c>
      <c r="I21" s="112" t="s">
        <v>118</v>
      </c>
      <c r="J21" s="175" t="s">
        <v>116</v>
      </c>
      <c r="K21" s="150"/>
    </row>
    <row r="22" spans="1:12" ht="14.25" x14ac:dyDescent="0.2">
      <c r="A22" s="150"/>
      <c r="B22" s="116" t="s">
        <v>119</v>
      </c>
      <c r="C22" s="111"/>
      <c r="D22" s="111"/>
      <c r="E22" s="150"/>
      <c r="F22" s="150"/>
      <c r="G22" s="150"/>
      <c r="H22" s="151">
        <v>18</v>
      </c>
      <c r="I22" s="151">
        <v>40</v>
      </c>
      <c r="J22" s="152">
        <f>E6</f>
        <v>40</v>
      </c>
      <c r="K22" s="150"/>
    </row>
    <row r="23" spans="1:12" ht="14.25" x14ac:dyDescent="0.2">
      <c r="A23" s="150"/>
      <c r="B23" s="116" t="s">
        <v>104</v>
      </c>
      <c r="C23" s="111"/>
      <c r="D23" s="111"/>
      <c r="E23" s="150"/>
      <c r="F23" s="150"/>
      <c r="G23" s="150"/>
      <c r="H23" s="129">
        <f>E7</f>
        <v>3.5</v>
      </c>
      <c r="I23" s="129">
        <f>E7</f>
        <v>3.5</v>
      </c>
      <c r="J23" s="130">
        <f>E7</f>
        <v>3.5</v>
      </c>
      <c r="K23" s="150"/>
    </row>
    <row r="24" spans="1:12" ht="14.25" x14ac:dyDescent="0.2">
      <c r="A24" s="150"/>
      <c r="B24" s="119" t="s">
        <v>120</v>
      </c>
      <c r="C24" s="111"/>
      <c r="D24" s="111"/>
      <c r="E24" s="150"/>
      <c r="F24" s="150"/>
      <c r="G24" s="150"/>
      <c r="H24" s="150"/>
      <c r="I24" s="150"/>
      <c r="J24" s="150"/>
      <c r="K24" s="150"/>
    </row>
    <row r="25" spans="1:12" ht="14.25" x14ac:dyDescent="0.2">
      <c r="A25" s="150"/>
      <c r="B25" s="116" t="s">
        <v>121</v>
      </c>
      <c r="C25" s="111"/>
      <c r="D25" s="111"/>
      <c r="E25" s="150"/>
      <c r="F25" s="150"/>
      <c r="G25" s="154"/>
      <c r="H25" s="129">
        <v>30</v>
      </c>
      <c r="I25" s="129">
        <v>60</v>
      </c>
      <c r="J25" s="130">
        <f>E10</f>
        <v>60</v>
      </c>
      <c r="K25" s="150"/>
    </row>
    <row r="26" spans="1:12" ht="14.25" x14ac:dyDescent="0.2">
      <c r="A26" s="150"/>
      <c r="B26" s="116" t="s">
        <v>162</v>
      </c>
      <c r="C26" s="111"/>
      <c r="D26" s="111"/>
      <c r="E26" s="150"/>
      <c r="F26" s="150"/>
      <c r="G26" s="154"/>
      <c r="H26" s="129">
        <v>1500</v>
      </c>
      <c r="I26" s="129">
        <v>2333</v>
      </c>
      <c r="J26" s="130">
        <f>E11</f>
        <v>2333</v>
      </c>
      <c r="K26" s="150"/>
    </row>
    <row r="27" spans="1:12" ht="14.25" x14ac:dyDescent="0.2">
      <c r="A27" s="150"/>
      <c r="B27" s="116" t="s">
        <v>163</v>
      </c>
      <c r="C27" s="111"/>
      <c r="D27" s="111"/>
      <c r="E27" s="150"/>
      <c r="F27" s="150"/>
      <c r="G27" s="154"/>
      <c r="H27" s="129">
        <v>600</v>
      </c>
      <c r="I27" s="129">
        <v>800</v>
      </c>
      <c r="J27" s="130">
        <f>E12</f>
        <v>800</v>
      </c>
      <c r="K27" s="150"/>
    </row>
    <row r="28" spans="1:12" x14ac:dyDescent="0.25">
      <c r="A28" s="150"/>
      <c r="B28" s="150"/>
      <c r="C28" s="150"/>
      <c r="D28" s="150"/>
      <c r="E28" s="150"/>
      <c r="F28" s="121" t="s">
        <v>122</v>
      </c>
      <c r="G28" s="154"/>
      <c r="H28" s="154"/>
      <c r="I28" s="154"/>
      <c r="J28" s="154"/>
      <c r="K28" s="150"/>
    </row>
    <row r="29" spans="1:12" ht="14.25" x14ac:dyDescent="0.2">
      <c r="A29" s="150"/>
      <c r="B29" s="116" t="s">
        <v>123</v>
      </c>
      <c r="C29" s="111"/>
      <c r="D29" s="111"/>
      <c r="E29" s="150"/>
      <c r="F29" s="155">
        <v>120</v>
      </c>
      <c r="G29" s="121" t="s">
        <v>124</v>
      </c>
      <c r="H29" s="156">
        <v>1</v>
      </c>
      <c r="I29" s="156">
        <v>2</v>
      </c>
      <c r="J29" s="124"/>
      <c r="K29" s="150"/>
    </row>
    <row r="30" spans="1:12" ht="14.25" x14ac:dyDescent="0.2">
      <c r="A30" s="150"/>
      <c r="B30" s="150"/>
      <c r="C30" s="150"/>
      <c r="D30" s="150"/>
      <c r="E30" s="150"/>
      <c r="F30" s="150"/>
      <c r="G30" s="154"/>
      <c r="H30" s="125">
        <f>$F$29*H29</f>
        <v>120</v>
      </c>
      <c r="I30" s="125">
        <f>$F$29*I29</f>
        <v>240</v>
      </c>
      <c r="J30" s="126">
        <f>E13</f>
        <v>240</v>
      </c>
      <c r="K30" s="150"/>
    </row>
    <row r="31" spans="1:12" ht="14.25" x14ac:dyDescent="0.2">
      <c r="A31" s="150"/>
      <c r="B31" s="150"/>
      <c r="C31" s="150"/>
      <c r="D31" s="150"/>
      <c r="E31" s="150"/>
      <c r="F31" s="150"/>
      <c r="G31" s="154"/>
      <c r="H31" s="150"/>
      <c r="I31" s="150"/>
      <c r="J31" s="150"/>
      <c r="K31" s="150"/>
    </row>
    <row r="32" spans="1:12" x14ac:dyDescent="0.25">
      <c r="A32" s="150"/>
      <c r="B32" s="150"/>
      <c r="C32" s="150"/>
      <c r="D32" s="150"/>
      <c r="E32" s="150"/>
      <c r="F32" s="111" t="s">
        <v>154</v>
      </c>
      <c r="G32" s="157"/>
      <c r="H32" s="125">
        <f>H25+H26+H27+H30</f>
        <v>2250</v>
      </c>
      <c r="I32" s="125">
        <f>I25+I26+I27+I30</f>
        <v>3433</v>
      </c>
      <c r="J32" s="126">
        <f>J25+J26+J27+J30</f>
        <v>3433</v>
      </c>
      <c r="K32" s="150"/>
      <c r="L32" s="64">
        <f>I32/(H22*E8)</f>
        <v>0.63574074074074072</v>
      </c>
    </row>
    <row r="33" spans="1:11" x14ac:dyDescent="0.25">
      <c r="A33" s="150"/>
      <c r="B33" s="150"/>
      <c r="C33" s="150"/>
      <c r="D33" s="150"/>
      <c r="E33" s="150"/>
      <c r="F33" s="150"/>
      <c r="G33" s="157"/>
      <c r="H33" s="157"/>
      <c r="I33" s="157"/>
      <c r="J33" s="157"/>
      <c r="K33" s="150"/>
    </row>
    <row r="34" spans="1:11" x14ac:dyDescent="0.25">
      <c r="A34" s="150"/>
      <c r="B34" s="153" t="s">
        <v>125</v>
      </c>
      <c r="C34" s="111"/>
      <c r="D34" s="111"/>
      <c r="E34" s="111"/>
      <c r="F34" s="150"/>
      <c r="G34" s="154"/>
      <c r="H34" s="125">
        <f>H32/H22</f>
        <v>125</v>
      </c>
      <c r="I34" s="125">
        <f>I32/I22</f>
        <v>85.825000000000003</v>
      </c>
      <c r="J34" s="126">
        <f>IF(J22=0, " ", J32/J22)</f>
        <v>85.825000000000003</v>
      </c>
      <c r="K34" s="150"/>
    </row>
    <row r="35" spans="1:11" x14ac:dyDescent="0.25">
      <c r="A35" s="150"/>
      <c r="B35" s="158"/>
      <c r="C35" s="150"/>
      <c r="D35" s="150"/>
      <c r="E35" s="150"/>
      <c r="F35" s="150"/>
      <c r="G35" s="154"/>
      <c r="H35" s="154"/>
      <c r="I35" s="154"/>
      <c r="J35" s="154"/>
      <c r="K35" s="150"/>
    </row>
    <row r="36" spans="1:11" x14ac:dyDescent="0.25">
      <c r="A36" s="150"/>
      <c r="B36" s="159"/>
      <c r="C36" s="150"/>
      <c r="D36" s="150"/>
      <c r="E36" s="150"/>
      <c r="F36" s="150"/>
      <c r="G36" s="154"/>
      <c r="H36" s="154"/>
      <c r="I36" s="154"/>
      <c r="J36" s="154"/>
      <c r="K36" s="150"/>
    </row>
    <row r="37" spans="1:11" x14ac:dyDescent="0.25">
      <c r="A37" s="150"/>
      <c r="B37" s="153" t="s">
        <v>126</v>
      </c>
      <c r="C37" s="111"/>
      <c r="D37" s="111"/>
      <c r="E37" s="111"/>
      <c r="F37" s="160">
        <f>E8</f>
        <v>300</v>
      </c>
      <c r="G37" s="161" t="s">
        <v>47</v>
      </c>
      <c r="H37" s="129">
        <f>H34/$F$37</f>
        <v>0.41666666666666669</v>
      </c>
      <c r="I37" s="129">
        <f>I34/$F$37</f>
        <v>0.28608333333333336</v>
      </c>
      <c r="J37" s="130">
        <f>IF($J$22=0," ",$J$34/F37)</f>
        <v>0.28608333333333336</v>
      </c>
      <c r="K37" s="150"/>
    </row>
    <row r="38" spans="1:11" x14ac:dyDescent="0.25">
      <c r="A38" s="150"/>
      <c r="B38" s="150"/>
      <c r="C38" s="150"/>
      <c r="D38" s="150"/>
      <c r="E38" s="150"/>
      <c r="F38" s="150"/>
      <c r="G38" s="154"/>
      <c r="H38" s="154"/>
      <c r="I38" s="154"/>
      <c r="J38" s="154"/>
      <c r="K38" s="150"/>
    </row>
    <row r="39" spans="1:11" x14ac:dyDescent="0.25">
      <c r="A39" s="150"/>
      <c r="B39" s="119" t="s">
        <v>127</v>
      </c>
      <c r="C39" s="111"/>
      <c r="D39" s="150"/>
      <c r="E39" s="150"/>
      <c r="F39" s="150"/>
      <c r="G39" s="154"/>
      <c r="H39" s="154"/>
      <c r="I39" s="154"/>
      <c r="J39" s="154"/>
      <c r="K39" s="150"/>
    </row>
    <row r="40" spans="1:11" x14ac:dyDescent="0.25">
      <c r="A40" s="150"/>
      <c r="B40" s="150"/>
      <c r="C40" s="150"/>
      <c r="D40" s="150"/>
      <c r="E40" s="150"/>
      <c r="F40" s="150"/>
      <c r="G40" s="162"/>
      <c r="H40" s="162"/>
      <c r="I40" s="162"/>
      <c r="J40" s="162"/>
      <c r="K40" s="150"/>
    </row>
    <row r="41" spans="1:11" x14ac:dyDescent="0.25">
      <c r="A41" s="150"/>
      <c r="B41" s="116" t="s">
        <v>155</v>
      </c>
      <c r="C41" s="111"/>
      <c r="D41" s="155">
        <v>6.77</v>
      </c>
      <c r="E41" s="150"/>
      <c r="F41" s="150"/>
      <c r="G41" s="163"/>
      <c r="H41" s="129">
        <f>H$22*$D$41</f>
        <v>121.85999999999999</v>
      </c>
      <c r="I41" s="129">
        <f>I$22*$D$41</f>
        <v>270.79999999999995</v>
      </c>
      <c r="J41" s="130">
        <f>J22*E14</f>
        <v>216</v>
      </c>
      <c r="K41" s="150"/>
    </row>
    <row r="42" spans="1:11" x14ac:dyDescent="0.25">
      <c r="A42" s="150"/>
      <c r="B42" s="116" t="s">
        <v>128</v>
      </c>
      <c r="C42" s="111"/>
      <c r="D42" s="155">
        <v>2.83</v>
      </c>
      <c r="E42" s="150"/>
      <c r="F42" s="150"/>
      <c r="G42" s="163"/>
      <c r="H42" s="129">
        <f>H$22*$D$42</f>
        <v>50.94</v>
      </c>
      <c r="I42" s="129">
        <f>I22*$D$42</f>
        <v>113.2</v>
      </c>
      <c r="J42" s="130">
        <f>J22*E15</f>
        <v>182</v>
      </c>
      <c r="K42" s="150"/>
    </row>
    <row r="43" spans="1:11" x14ac:dyDescent="0.25">
      <c r="A43" s="150"/>
      <c r="B43" s="116" t="s">
        <v>50</v>
      </c>
      <c r="C43" s="111"/>
      <c r="D43" s="155">
        <v>8.1999999999999993</v>
      </c>
      <c r="E43" s="150"/>
      <c r="F43" s="150"/>
      <c r="G43" s="163"/>
      <c r="H43" s="129">
        <f>D43*H22</f>
        <v>147.6</v>
      </c>
      <c r="I43" s="129">
        <f>I22*D43</f>
        <v>328</v>
      </c>
      <c r="J43" s="130">
        <f>J22*E16</f>
        <v>328</v>
      </c>
      <c r="K43" s="150"/>
    </row>
    <row r="44" spans="1:11" x14ac:dyDescent="0.25">
      <c r="A44" s="150"/>
      <c r="B44" s="159"/>
      <c r="C44" s="150"/>
      <c r="D44" s="164"/>
      <c r="E44" s="150"/>
      <c r="F44" s="150"/>
      <c r="G44" s="163"/>
      <c r="H44" s="163"/>
      <c r="I44" s="163"/>
      <c r="J44" s="163"/>
      <c r="K44" s="150"/>
    </row>
    <row r="45" spans="1:11" x14ac:dyDescent="0.25">
      <c r="A45" s="150"/>
      <c r="B45" s="158"/>
      <c r="C45" s="158"/>
      <c r="D45" s="165"/>
      <c r="E45" s="119" t="s">
        <v>127</v>
      </c>
      <c r="F45" s="111"/>
      <c r="G45" s="119" t="s">
        <v>129</v>
      </c>
      <c r="H45" s="125">
        <f>SUM(H41:H43)</f>
        <v>320.39999999999998</v>
      </c>
      <c r="I45" s="125">
        <f t="shared" ref="I45:J45" si="0">SUM(I41:I43)</f>
        <v>712</v>
      </c>
      <c r="J45" s="126">
        <f t="shared" si="0"/>
        <v>726</v>
      </c>
      <c r="K45" s="150"/>
    </row>
    <row r="46" spans="1:11" x14ac:dyDescent="0.25">
      <c r="A46" s="150"/>
      <c r="B46" s="150"/>
      <c r="C46" s="150"/>
      <c r="D46" s="150"/>
      <c r="E46" s="150"/>
      <c r="F46" s="150"/>
      <c r="G46" s="131" t="s">
        <v>130</v>
      </c>
      <c r="H46" s="125">
        <f>H45/H22</f>
        <v>17.799999999999997</v>
      </c>
      <c r="I46" s="125">
        <f>I45/I22</f>
        <v>17.8</v>
      </c>
      <c r="J46" s="126">
        <f>IF(J22=0," ",J45/J22)</f>
        <v>18.149999999999999</v>
      </c>
      <c r="K46" s="150"/>
    </row>
    <row r="47" spans="1:11" x14ac:dyDescent="0.25">
      <c r="A47" s="150"/>
      <c r="B47" s="150"/>
      <c r="C47" s="150"/>
      <c r="D47" s="150"/>
      <c r="E47" s="150"/>
      <c r="F47" s="165"/>
      <c r="G47" s="166"/>
      <c r="H47" s="166"/>
      <c r="I47" s="166"/>
      <c r="J47" s="166"/>
      <c r="K47" s="150"/>
    </row>
    <row r="48" spans="1:11" x14ac:dyDescent="0.25">
      <c r="A48" s="150"/>
      <c r="B48" s="150"/>
      <c r="C48" s="150"/>
      <c r="D48" s="150"/>
      <c r="E48" s="150"/>
      <c r="F48" s="119" t="s">
        <v>131</v>
      </c>
      <c r="G48" s="111"/>
      <c r="H48" s="125">
        <f>H45+H32</f>
        <v>2570.4</v>
      </c>
      <c r="I48" s="125">
        <f>I45+I32</f>
        <v>4145</v>
      </c>
      <c r="J48" s="126">
        <f>J45+J32</f>
        <v>4159</v>
      </c>
      <c r="K48" s="150"/>
    </row>
    <row r="49" spans="1:15" x14ac:dyDescent="0.25">
      <c r="A49" s="150"/>
      <c r="B49" s="150"/>
      <c r="C49" s="150"/>
      <c r="D49" s="150"/>
      <c r="E49" s="150"/>
      <c r="F49" s="150"/>
      <c r="G49" s="154"/>
      <c r="H49" s="154"/>
      <c r="I49" s="154"/>
      <c r="J49" s="154"/>
      <c r="K49" s="150"/>
    </row>
    <row r="50" spans="1:15" x14ac:dyDescent="0.25">
      <c r="A50" s="150"/>
      <c r="B50" s="119" t="s">
        <v>132</v>
      </c>
      <c r="C50" s="111"/>
      <c r="D50" s="153"/>
      <c r="E50" s="153"/>
      <c r="F50" s="111"/>
      <c r="G50" s="111"/>
      <c r="H50" s="125">
        <f>H46+H34</f>
        <v>142.80000000000001</v>
      </c>
      <c r="I50" s="125">
        <f>I46+I34</f>
        <v>103.625</v>
      </c>
      <c r="J50" s="126">
        <f>J46+J34</f>
        <v>103.97499999999999</v>
      </c>
      <c r="K50" s="150"/>
    </row>
    <row r="51" spans="1:15" x14ac:dyDescent="0.25">
      <c r="A51" s="150"/>
      <c r="B51" s="150"/>
      <c r="C51" s="150"/>
      <c r="D51" s="150"/>
      <c r="E51" s="150"/>
      <c r="F51" s="165"/>
      <c r="G51" s="167"/>
      <c r="H51" s="167"/>
      <c r="I51" s="167"/>
      <c r="J51" s="167"/>
      <c r="K51" s="150"/>
    </row>
    <row r="52" spans="1:15" x14ac:dyDescent="0.25">
      <c r="A52" s="150"/>
      <c r="B52" s="119" t="s">
        <v>133</v>
      </c>
      <c r="C52" s="111"/>
      <c r="D52" s="111"/>
      <c r="E52" s="111"/>
      <c r="F52" s="168">
        <f>E8</f>
        <v>300</v>
      </c>
      <c r="G52" s="136" t="s">
        <v>47</v>
      </c>
      <c r="H52" s="125">
        <f>H50/F52</f>
        <v>0.47600000000000003</v>
      </c>
      <c r="I52" s="125">
        <f>I50/F52</f>
        <v>0.34541666666666665</v>
      </c>
      <c r="J52" s="126">
        <f>J50/F52</f>
        <v>0.3465833333333333</v>
      </c>
      <c r="K52" s="150"/>
      <c r="M52" s="80"/>
    </row>
    <row r="53" spans="1:15" x14ac:dyDescent="0.25">
      <c r="A53" s="150"/>
      <c r="B53" s="150"/>
      <c r="C53" s="150"/>
      <c r="D53" s="150"/>
      <c r="E53" s="150"/>
      <c r="F53" s="150"/>
      <c r="G53" s="167"/>
      <c r="H53" s="167"/>
      <c r="I53" s="167"/>
      <c r="J53" s="167"/>
      <c r="K53" s="150"/>
      <c r="M53" s="181"/>
      <c r="O53" s="80"/>
    </row>
    <row r="54" spans="1:15" x14ac:dyDescent="0.25">
      <c r="A54" s="150"/>
      <c r="B54" s="119" t="s">
        <v>134</v>
      </c>
      <c r="C54" s="111"/>
      <c r="D54" s="111"/>
      <c r="E54" s="150"/>
      <c r="F54" s="150"/>
      <c r="G54" s="167"/>
      <c r="H54" s="167"/>
      <c r="I54" s="167"/>
      <c r="J54" s="167"/>
      <c r="K54" s="150"/>
      <c r="M54" s="180"/>
    </row>
    <row r="55" spans="1:15" x14ac:dyDescent="0.25">
      <c r="A55" s="150"/>
      <c r="B55" s="116" t="s">
        <v>135</v>
      </c>
      <c r="C55" s="111"/>
      <c r="D55" s="111"/>
      <c r="E55" s="182">
        <v>0.04</v>
      </c>
      <c r="F55" s="168"/>
      <c r="G55" s="138"/>
      <c r="H55" s="129">
        <f>(E8/E9)*(E7*E9)*E55</f>
        <v>42</v>
      </c>
      <c r="I55" s="129">
        <f>(E8/E9)*(E7*E9)*E55</f>
        <v>42</v>
      </c>
      <c r="J55" s="126">
        <f>(E8/E9)*(E7*E9)*E55</f>
        <v>42</v>
      </c>
      <c r="K55" s="150"/>
      <c r="L55" s="80"/>
      <c r="M55" s="80"/>
    </row>
    <row r="56" spans="1:15" x14ac:dyDescent="0.25">
      <c r="A56" s="150"/>
      <c r="B56" s="116" t="s">
        <v>114</v>
      </c>
      <c r="C56" s="111"/>
      <c r="D56" s="111"/>
      <c r="E56" s="155">
        <v>0.1</v>
      </c>
      <c r="F56" s="116"/>
      <c r="G56" s="133"/>
      <c r="H56" s="129">
        <f>E56</f>
        <v>0.1</v>
      </c>
      <c r="I56" s="129">
        <f>E56</f>
        <v>0.1</v>
      </c>
      <c r="J56" s="130">
        <f>E18</f>
        <v>0.1</v>
      </c>
      <c r="K56" s="150"/>
      <c r="N56" s="80"/>
      <c r="O56" s="80"/>
    </row>
    <row r="57" spans="1:15" x14ac:dyDescent="0.25">
      <c r="A57" s="159"/>
      <c r="B57" s="159"/>
      <c r="C57" s="150"/>
      <c r="D57" s="150"/>
      <c r="E57" s="164"/>
      <c r="F57" s="169"/>
      <c r="G57" s="154"/>
      <c r="H57" s="154"/>
      <c r="I57" s="154"/>
      <c r="J57" s="154"/>
      <c r="K57" s="150"/>
    </row>
    <row r="58" spans="1:15" x14ac:dyDescent="0.25">
      <c r="A58" s="150"/>
      <c r="B58" s="150"/>
      <c r="C58" s="150"/>
      <c r="D58" s="150"/>
      <c r="E58" s="150"/>
      <c r="F58" s="119" t="s">
        <v>130</v>
      </c>
      <c r="G58" s="170"/>
      <c r="H58" s="125">
        <f>SUM(H55:H56)</f>
        <v>42.1</v>
      </c>
      <c r="I58" s="125">
        <f>SUM(I55:I56)</f>
        <v>42.1</v>
      </c>
      <c r="J58" s="126">
        <f>SUM(J55:J56)</f>
        <v>42.1</v>
      </c>
      <c r="K58" s="150"/>
    </row>
    <row r="59" spans="1:15" x14ac:dyDescent="0.25">
      <c r="A59" s="150"/>
      <c r="B59" s="150"/>
      <c r="C59" s="150"/>
      <c r="D59" s="150"/>
      <c r="E59" s="150"/>
      <c r="F59" s="119" t="s">
        <v>136</v>
      </c>
      <c r="G59" s="170"/>
      <c r="H59" s="125">
        <f>H58/E8</f>
        <v>0.14033333333333334</v>
      </c>
      <c r="I59" s="125">
        <f>I58/E8</f>
        <v>0.14033333333333334</v>
      </c>
      <c r="J59" s="126">
        <f>J58/E8</f>
        <v>0.14033333333333334</v>
      </c>
      <c r="K59" s="150"/>
    </row>
    <row r="60" spans="1:15" x14ac:dyDescent="0.25">
      <c r="A60" s="150"/>
      <c r="B60" s="150"/>
      <c r="C60" s="150"/>
      <c r="D60" s="150"/>
      <c r="E60" s="150"/>
      <c r="F60" s="169"/>
      <c r="G60" s="154"/>
      <c r="H60" s="154"/>
      <c r="I60" s="154"/>
      <c r="J60" s="154"/>
      <c r="K60" s="150"/>
    </row>
    <row r="61" spans="1:15" x14ac:dyDescent="0.25">
      <c r="A61" s="150"/>
      <c r="B61" s="171" t="s">
        <v>137</v>
      </c>
      <c r="C61" s="171"/>
      <c r="D61" s="172"/>
      <c r="E61" s="172"/>
      <c r="F61" s="172"/>
      <c r="G61" s="150"/>
      <c r="H61" s="125">
        <f>H58+H34</f>
        <v>167.1</v>
      </c>
      <c r="I61" s="125">
        <f>I58+I34</f>
        <v>127.92500000000001</v>
      </c>
      <c r="J61" s="126">
        <f>J58+J34</f>
        <v>127.92500000000001</v>
      </c>
      <c r="K61" s="150"/>
    </row>
    <row r="62" spans="1:15" x14ac:dyDescent="0.2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</row>
    <row r="63" spans="1:15" x14ac:dyDescent="0.25">
      <c r="A63" s="150"/>
      <c r="B63" s="171" t="s">
        <v>165</v>
      </c>
      <c r="C63" s="171"/>
      <c r="D63" s="171"/>
      <c r="E63" s="171"/>
      <c r="F63" s="150"/>
      <c r="G63" s="150"/>
      <c r="H63" s="71">
        <f>H59+H37</f>
        <v>0.55700000000000005</v>
      </c>
      <c r="I63" s="71">
        <f>I59+I37</f>
        <v>0.42641666666666667</v>
      </c>
      <c r="J63" s="106">
        <f>J59+J37</f>
        <v>0.42641666666666667</v>
      </c>
      <c r="K63" s="150"/>
    </row>
    <row r="64" spans="1:15" x14ac:dyDescent="0.2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</row>
    <row r="65" spans="1:11" x14ac:dyDescent="0.2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</row>
  </sheetData>
  <sheetProtection sheet="1" objects="1" scenarios="1" selectLockedCells="1"/>
  <mergeCells count="13">
    <mergeCell ref="B17:D17"/>
    <mergeCell ref="B18:D18"/>
    <mergeCell ref="B6:D6"/>
    <mergeCell ref="B7:D7"/>
    <mergeCell ref="B8:D8"/>
    <mergeCell ref="B9:D9"/>
    <mergeCell ref="B10:D10"/>
    <mergeCell ref="B11:D11"/>
    <mergeCell ref="B16:D16"/>
    <mergeCell ref="B12:D12"/>
    <mergeCell ref="B13:D13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Lamb</vt:lpstr>
      <vt:lpstr>Lamb Data</vt:lpstr>
      <vt:lpstr>Lamb export</vt:lpstr>
      <vt:lpstr>Cattle</vt:lpstr>
      <vt:lpstr>Cattle data</vt:lpstr>
      <vt:lpstr>Sheet3</vt:lpstr>
      <vt:lpstr>Cattle export</vt:lpstr>
      <vt:lpstr>Cattle!Print_Area</vt:lpstr>
      <vt:lpstr>Lamb!Print_Area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McEvoy</dc:creator>
  <cp:lastModifiedBy>Harrison</cp:lastModifiedBy>
  <cp:lastPrinted>2016-06-24T11:26:27Z</cp:lastPrinted>
  <dcterms:created xsi:type="dcterms:W3CDTF">2015-11-05T09:18:12Z</dcterms:created>
  <dcterms:modified xsi:type="dcterms:W3CDTF">2017-06-12T11:20:26Z</dcterms:modified>
</cp:coreProperties>
</file>