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576" yWindow="312" windowWidth="14040" windowHeight="9432" activeTab="6"/>
  </bookViews>
  <sheets>
    <sheet name="Lamb" sheetId="3" r:id="rId1"/>
    <sheet name="Lamb Data" sheetId="2" state="hidden" r:id="rId2"/>
    <sheet name="Lamb export" sheetId="9" r:id="rId3"/>
    <sheet name="Cattle" sheetId="6" r:id="rId4"/>
    <sheet name="Cattle data" sheetId="7" state="hidden" r:id="rId5"/>
    <sheet name="Sheet3" sheetId="5" state="hidden" r:id="rId6"/>
    <sheet name="Cattle export" sheetId="8" r:id="rId7"/>
  </sheets>
  <definedNames>
    <definedName name="_xlnm.Print_Area" localSheetId="3">Cattle!$A$1:$G$54</definedName>
    <definedName name="_xlnm.Print_Area" localSheetId="0">Lamb!$A$1:$H$59</definedName>
  </definedNames>
  <calcPr calcId="145621"/>
</workbook>
</file>

<file path=xl/calcChain.xml><?xml version="1.0" encoding="utf-8"?>
<calcChain xmlns="http://schemas.openxmlformats.org/spreadsheetml/2006/main">
  <c r="N12" i="2" l="1"/>
  <c r="P12" i="2"/>
  <c r="N13" i="2" l="1"/>
  <c r="B2" i="7" l="1"/>
  <c r="AH13" i="2" l="1"/>
  <c r="AH14" i="2"/>
  <c r="AH15" i="2"/>
  <c r="AH16" i="2"/>
  <c r="AH12" i="2"/>
  <c r="AG13" i="2"/>
  <c r="AG14" i="2"/>
  <c r="AG15" i="2"/>
  <c r="AG16" i="2"/>
  <c r="AG12" i="2"/>
  <c r="AF16" i="2"/>
  <c r="AF13" i="2"/>
  <c r="AF14" i="2"/>
  <c r="AF15" i="2"/>
  <c r="AF12" i="2"/>
  <c r="AE13" i="2"/>
  <c r="AE14" i="2"/>
  <c r="AE15" i="2"/>
  <c r="AE16" i="2"/>
  <c r="AE12" i="2"/>
  <c r="AD13" i="2"/>
  <c r="AD14" i="2"/>
  <c r="AD15" i="2"/>
  <c r="AD16" i="2"/>
  <c r="AC12" i="2"/>
  <c r="AD12" i="2"/>
  <c r="AC13" i="2"/>
  <c r="AC14" i="2"/>
  <c r="AC15" i="2"/>
  <c r="AC16" i="2"/>
  <c r="AB13" i="2"/>
  <c r="AB14" i="2"/>
  <c r="AB15" i="2"/>
  <c r="AB16" i="2"/>
  <c r="AB12" i="2"/>
  <c r="N14" i="2" l="1"/>
  <c r="AD4" i="2" l="1"/>
  <c r="B4" i="2"/>
  <c r="AB3" i="2"/>
  <c r="AB6" i="2"/>
  <c r="AB4" i="2"/>
  <c r="AD3" i="2"/>
  <c r="AF3" i="2"/>
  <c r="AH3" i="2"/>
  <c r="AG7" i="2"/>
  <c r="AE7" i="2"/>
  <c r="AC7" i="2"/>
  <c r="AG6" i="2"/>
  <c r="AE6" i="2"/>
  <c r="AC6" i="2"/>
  <c r="AG5" i="2"/>
  <c r="AE5" i="2"/>
  <c r="AC5" i="2"/>
  <c r="AG4" i="2"/>
  <c r="AE4" i="2"/>
  <c r="AC4" i="2"/>
  <c r="AB7" i="2"/>
  <c r="AB5" i="2"/>
  <c r="AC3" i="2"/>
  <c r="AE3" i="2"/>
  <c r="AG3" i="2"/>
  <c r="AH7" i="2"/>
  <c r="AF7" i="2"/>
  <c r="AD7" i="2"/>
  <c r="AH6" i="2"/>
  <c r="AF6" i="2"/>
  <c r="AD6" i="2"/>
  <c r="AH5" i="2"/>
  <c r="AF5" i="2"/>
  <c r="AD5" i="2"/>
  <c r="AH4" i="2"/>
  <c r="AF4" i="2"/>
  <c r="S41" i="2"/>
  <c r="B5" i="7"/>
  <c r="AI5" i="2" l="1"/>
  <c r="AI6" i="2"/>
  <c r="AI4" i="2"/>
  <c r="AI3" i="2"/>
  <c r="I25" i="2"/>
  <c r="N28" i="2" l="1"/>
  <c r="N30" i="2"/>
  <c r="N29" i="2"/>
  <c r="N27" i="2"/>
  <c r="AI8" i="2"/>
  <c r="L48" i="2"/>
  <c r="I48" i="2" s="1"/>
  <c r="J29" i="2" l="1"/>
  <c r="S29" i="2" s="1"/>
  <c r="M29" i="2"/>
  <c r="V29" i="2" s="1"/>
  <c r="L2" i="7" l="1"/>
  <c r="L48" i="7" l="1"/>
  <c r="L5" i="7"/>
  <c r="N5" i="7"/>
  <c r="P5" i="7"/>
  <c r="L6" i="7"/>
  <c r="N6" i="7"/>
  <c r="P6" i="7"/>
  <c r="L7" i="7"/>
  <c r="N7" i="7"/>
  <c r="P7" i="7"/>
  <c r="L8" i="7"/>
  <c r="N8" i="7"/>
  <c r="P8" i="7"/>
  <c r="L9" i="7"/>
  <c r="N9" i="7"/>
  <c r="P9" i="7"/>
  <c r="L10" i="7"/>
  <c r="N10" i="7"/>
  <c r="P10" i="7"/>
  <c r="L11" i="7"/>
  <c r="N11" i="7"/>
  <c r="P11" i="7"/>
  <c r="M4" i="7"/>
  <c r="O4" i="7"/>
  <c r="Q4" i="7"/>
  <c r="M5" i="7"/>
  <c r="O5" i="7"/>
  <c r="Q5" i="7"/>
  <c r="M6" i="7"/>
  <c r="O6" i="7"/>
  <c r="Q6" i="7"/>
  <c r="M7" i="7"/>
  <c r="O7" i="7"/>
  <c r="Q7" i="7"/>
  <c r="M8" i="7"/>
  <c r="O8" i="7"/>
  <c r="Q8" i="7"/>
  <c r="M9" i="7"/>
  <c r="O9" i="7"/>
  <c r="Q9" i="7"/>
  <c r="M10" i="7"/>
  <c r="O10" i="7"/>
  <c r="Q10" i="7"/>
  <c r="M11" i="7"/>
  <c r="O11" i="7"/>
  <c r="Q11" i="7"/>
  <c r="N4" i="7"/>
  <c r="P4" i="7"/>
  <c r="L4" i="7"/>
  <c r="L52" i="7"/>
  <c r="L50" i="7"/>
  <c r="Q52" i="7"/>
  <c r="O52" i="7"/>
  <c r="M52" i="7"/>
  <c r="P53" i="7"/>
  <c r="N53" i="7"/>
  <c r="L53" i="7"/>
  <c r="N55" i="7"/>
  <c r="O54" i="7"/>
  <c r="M54" i="7"/>
  <c r="P54" i="7"/>
  <c r="P50" i="7"/>
  <c r="P48" i="7"/>
  <c r="Q50" i="7"/>
  <c r="Q48" i="7"/>
  <c r="N48" i="7"/>
  <c r="O49" i="7"/>
  <c r="M49" i="7"/>
  <c r="M50" i="7"/>
  <c r="N51" i="7"/>
  <c r="N50" i="7"/>
  <c r="L51" i="7"/>
  <c r="L49" i="7"/>
  <c r="P52" i="7"/>
  <c r="N52" i="7"/>
  <c r="Q53" i="7"/>
  <c r="O53" i="7"/>
  <c r="M53" i="7"/>
  <c r="O55" i="7"/>
  <c r="M55" i="7"/>
  <c r="N54" i="7"/>
  <c r="Q54" i="7"/>
  <c r="P51" i="7"/>
  <c r="P49" i="7"/>
  <c r="Q51" i="7"/>
  <c r="Q49" i="7"/>
  <c r="O48" i="7"/>
  <c r="M48" i="7"/>
  <c r="N49" i="7"/>
  <c r="O50" i="7"/>
  <c r="O51" i="7"/>
  <c r="M51" i="7"/>
  <c r="T14" i="2" l="1"/>
  <c r="S14" i="2"/>
  <c r="U13" i="2"/>
  <c r="U12" i="2"/>
  <c r="L25" i="7" l="1"/>
  <c r="J28" i="2" l="1"/>
  <c r="S28" i="2" s="1"/>
  <c r="I30" i="2"/>
  <c r="R30" i="2" s="1"/>
  <c r="I29" i="2"/>
  <c r="R29" i="2" s="1"/>
  <c r="J27" i="2"/>
  <c r="S27" i="2" s="1"/>
  <c r="I28" i="2"/>
  <c r="R28" i="2" s="1"/>
  <c r="I27" i="2"/>
  <c r="R27" i="2" s="1"/>
  <c r="J67" i="2"/>
  <c r="J66" i="2"/>
  <c r="I67" i="2"/>
  <c r="N69" i="2"/>
  <c r="N68" i="2"/>
  <c r="O67" i="2"/>
  <c r="K67" i="2"/>
  <c r="N66" i="2"/>
  <c r="J68" i="2"/>
  <c r="I69" i="2"/>
  <c r="I68" i="2"/>
  <c r="O69" i="2"/>
  <c r="M69" i="2"/>
  <c r="K69" i="2"/>
  <c r="O68" i="2"/>
  <c r="M68" i="2"/>
  <c r="K68" i="2"/>
  <c r="K76" i="2" s="1"/>
  <c r="N67" i="2"/>
  <c r="N75" i="2" s="1"/>
  <c r="L67" i="2"/>
  <c r="L75" i="2" s="1"/>
  <c r="O66" i="2"/>
  <c r="O74" i="2" s="1"/>
  <c r="M66" i="2"/>
  <c r="M74" i="2" s="1"/>
  <c r="K66" i="2"/>
  <c r="K74" i="2" s="1"/>
  <c r="I66" i="2"/>
  <c r="I74" i="2" s="1"/>
  <c r="L69" i="2"/>
  <c r="L77" i="2" s="1"/>
  <c r="J69" i="2"/>
  <c r="J77" i="2" s="1"/>
  <c r="L68" i="2"/>
  <c r="L76" i="2" s="1"/>
  <c r="M67" i="2"/>
  <c r="M75" i="2" s="1"/>
  <c r="L66" i="2"/>
  <c r="L74" i="2" s="1"/>
  <c r="O28" i="2"/>
  <c r="X28" i="2" s="1"/>
  <c r="O30" i="2"/>
  <c r="X30" i="2" s="1"/>
  <c r="O29" i="2"/>
  <c r="X29" i="2" s="1"/>
  <c r="O27" i="2"/>
  <c r="X27" i="2" s="1"/>
  <c r="W28" i="2"/>
  <c r="W30" i="2"/>
  <c r="M30" i="2"/>
  <c r="V30" i="2" s="1"/>
  <c r="M28" i="2"/>
  <c r="V28" i="2" s="1"/>
  <c r="L30" i="2"/>
  <c r="U30" i="2" s="1"/>
  <c r="J30" i="2"/>
  <c r="S30" i="2" s="1"/>
  <c r="W29" i="2"/>
  <c r="W27" i="2"/>
  <c r="M27" i="2"/>
  <c r="V27" i="2" s="1"/>
  <c r="K30" i="2"/>
  <c r="T30" i="2" s="1"/>
  <c r="M76" i="2" l="1"/>
  <c r="K77" i="2"/>
  <c r="O77" i="2"/>
  <c r="I77" i="2"/>
  <c r="N74" i="2"/>
  <c r="O75" i="2"/>
  <c r="N77" i="2"/>
  <c r="J74" i="2"/>
  <c r="O76" i="2"/>
  <c r="M77" i="2"/>
  <c r="I76" i="2"/>
  <c r="J76" i="2"/>
  <c r="K75" i="2"/>
  <c r="N76" i="2"/>
  <c r="I75" i="2"/>
  <c r="J75" i="2"/>
  <c r="B7" i="2"/>
  <c r="R35" i="2" l="1"/>
  <c r="R42" i="2" s="1"/>
  <c r="V35" i="2"/>
  <c r="X35" i="2"/>
  <c r="S36" i="2"/>
  <c r="W36" i="2"/>
  <c r="R37" i="2"/>
  <c r="R44" i="2" s="1"/>
  <c r="T37" i="2"/>
  <c r="V37" i="2"/>
  <c r="X37" i="2"/>
  <c r="S38" i="2"/>
  <c r="U38" i="2"/>
  <c r="W38" i="2"/>
  <c r="S34" i="2"/>
  <c r="W34" i="2"/>
  <c r="R34" i="2"/>
  <c r="R41" i="2" s="1"/>
  <c r="S35" i="2"/>
  <c r="W35" i="2"/>
  <c r="R36" i="2"/>
  <c r="R43" i="2" s="1"/>
  <c r="V36" i="2"/>
  <c r="X36" i="2"/>
  <c r="S37" i="2"/>
  <c r="U37" i="2"/>
  <c r="W37" i="2"/>
  <c r="R38" i="2"/>
  <c r="T38" i="2"/>
  <c r="V38" i="2"/>
  <c r="X38" i="2"/>
  <c r="V34" i="2"/>
  <c r="X34" i="2"/>
  <c r="L32" i="8"/>
  <c r="G7" i="9" l="1"/>
  <c r="E54" i="3"/>
  <c r="D54" i="3"/>
  <c r="J56" i="9"/>
  <c r="I56" i="9"/>
  <c r="H56" i="9"/>
  <c r="F37" i="9"/>
  <c r="F51" i="9" s="1"/>
  <c r="E56" i="9"/>
  <c r="B27" i="3" l="1"/>
  <c r="D4" i="6" l="1"/>
  <c r="D31" i="6"/>
  <c r="B31" i="6"/>
  <c r="E55" i="9" l="1"/>
  <c r="I55" i="9" l="1"/>
  <c r="H55" i="9"/>
  <c r="J55" i="9"/>
  <c r="B39" i="3" l="1"/>
  <c r="C49" i="6"/>
  <c r="B30" i="7"/>
  <c r="D34" i="6"/>
  <c r="E34" i="6"/>
  <c r="C34" i="6"/>
  <c r="B21" i="2"/>
  <c r="B37" i="2"/>
  <c r="C46" i="3"/>
  <c r="D31" i="3"/>
  <c r="E31" i="3"/>
  <c r="C31" i="3"/>
  <c r="D4" i="3" l="1"/>
  <c r="J24" i="9" l="1"/>
  <c r="L14" i="7" l="1"/>
  <c r="P60" i="7" l="1"/>
  <c r="P58" i="7"/>
  <c r="M18" i="7"/>
  <c r="M60" i="7" s="1"/>
  <c r="M16" i="7"/>
  <c r="M58" i="7" s="1"/>
  <c r="P59" i="7"/>
  <c r="P61" i="7"/>
  <c r="M19" i="7"/>
  <c r="M61" i="7" s="1"/>
  <c r="M17" i="7"/>
  <c r="M59" i="7" s="1"/>
  <c r="P62" i="7"/>
  <c r="M62" i="7"/>
  <c r="O20" i="7"/>
  <c r="N20" i="7"/>
  <c r="O18" i="7"/>
  <c r="N19" i="7"/>
  <c r="O17" i="7"/>
  <c r="O59" i="7" s="1"/>
  <c r="N16" i="7"/>
  <c r="N58" i="7" s="1"/>
  <c r="O19" i="7"/>
  <c r="N18" i="7"/>
  <c r="N17" i="7"/>
  <c r="N59" i="7" s="1"/>
  <c r="O16" i="7"/>
  <c r="O58" i="7" s="1"/>
  <c r="O29" i="7"/>
  <c r="O30" i="7"/>
  <c r="O31" i="7"/>
  <c r="O32" i="7"/>
  <c r="N30" i="7"/>
  <c r="N31" i="7"/>
  <c r="N32" i="7"/>
  <c r="N29" i="7"/>
  <c r="N60" i="7" l="1"/>
  <c r="U16" i="7"/>
  <c r="U22" i="7" s="1"/>
  <c r="N61" i="7"/>
  <c r="U17" i="7"/>
  <c r="U23" i="7" s="1"/>
  <c r="N62" i="7"/>
  <c r="U18" i="7"/>
  <c r="U24" i="7" s="1"/>
  <c r="O61" i="7"/>
  <c r="V17" i="7"/>
  <c r="V23" i="7" s="1"/>
  <c r="O60" i="7"/>
  <c r="V16" i="7"/>
  <c r="V22" i="7" s="1"/>
  <c r="O62" i="7"/>
  <c r="V18" i="7"/>
  <c r="V24" i="7" s="1"/>
  <c r="D35" i="6"/>
  <c r="E35" i="6"/>
  <c r="D33" i="6"/>
  <c r="E33" i="6"/>
  <c r="C37" i="2" l="1"/>
  <c r="D37" i="2"/>
  <c r="C30" i="7"/>
  <c r="E27" i="7"/>
  <c r="E28" i="7"/>
  <c r="F37" i="6" s="1"/>
  <c r="E33" i="2"/>
  <c r="F32" i="3" s="1"/>
  <c r="E35" i="2"/>
  <c r="F34" i="3" s="1"/>
  <c r="F33" i="2"/>
  <c r="F35" i="2"/>
  <c r="D34" i="3"/>
  <c r="E34" i="3"/>
  <c r="C34" i="3"/>
  <c r="D32" i="3"/>
  <c r="E32" i="3"/>
  <c r="C32" i="3"/>
  <c r="F35" i="3" l="1"/>
  <c r="F9" i="2"/>
  <c r="B35" i="3"/>
  <c r="F29" i="2"/>
  <c r="F30" i="2"/>
  <c r="F31" i="2"/>
  <c r="F32" i="2"/>
  <c r="F34" i="2"/>
  <c r="F28" i="2"/>
  <c r="I43" i="8" l="1"/>
  <c r="H43" i="8"/>
  <c r="J55" i="8"/>
  <c r="I55" i="8"/>
  <c r="H55" i="8"/>
  <c r="L28" i="2" l="1"/>
  <c r="U28" i="2" s="1"/>
  <c r="U35" i="2" s="1"/>
  <c r="L27" i="2"/>
  <c r="U27" i="2" s="1"/>
  <c r="U34" i="2" s="1"/>
  <c r="K28" i="2"/>
  <c r="T28" i="2" s="1"/>
  <c r="T35" i="2" s="1"/>
  <c r="K27" i="2"/>
  <c r="T27" i="2" s="1"/>
  <c r="T34" i="2" s="1"/>
  <c r="I21" i="2"/>
  <c r="J21" i="2"/>
  <c r="K21" i="2"/>
  <c r="L21" i="2"/>
  <c r="M21" i="2"/>
  <c r="N21" i="2"/>
  <c r="O21" i="2"/>
  <c r="O43" i="2" l="1"/>
  <c r="O36" i="2"/>
  <c r="N43" i="2"/>
  <c r="N36" i="2"/>
  <c r="M43" i="2"/>
  <c r="M36" i="2"/>
  <c r="J43" i="2"/>
  <c r="J36" i="2"/>
  <c r="I43" i="2"/>
  <c r="I36" i="2"/>
  <c r="E11" i="2"/>
  <c r="F25" i="3" s="1"/>
  <c r="D3" i="6" l="1"/>
  <c r="F3" i="6"/>
  <c r="J57" i="9"/>
  <c r="I58" i="9"/>
  <c r="I59" i="9" s="1"/>
  <c r="J42" i="9"/>
  <c r="I42" i="9"/>
  <c r="H42" i="9"/>
  <c r="I41" i="9"/>
  <c r="I43" i="9" s="1"/>
  <c r="H41" i="9"/>
  <c r="H43" i="9" s="1"/>
  <c r="J29" i="9"/>
  <c r="I29" i="9"/>
  <c r="I31" i="9" s="1"/>
  <c r="H29" i="9"/>
  <c r="H31" i="9" s="1"/>
  <c r="J26" i="9"/>
  <c r="J25" i="9"/>
  <c r="J31" i="9" s="1"/>
  <c r="J23" i="9"/>
  <c r="J58" i="9" s="1"/>
  <c r="J59" i="9" s="1"/>
  <c r="J22" i="9"/>
  <c r="J56" i="8"/>
  <c r="I56" i="8"/>
  <c r="H56" i="8"/>
  <c r="F52" i="8"/>
  <c r="I42" i="8"/>
  <c r="H42" i="8"/>
  <c r="I41" i="8"/>
  <c r="I45" i="8" s="1"/>
  <c r="H41" i="8"/>
  <c r="H45" i="8" s="1"/>
  <c r="F37" i="8"/>
  <c r="J30" i="8"/>
  <c r="I30" i="8"/>
  <c r="I32" i="8" s="1"/>
  <c r="H30" i="8"/>
  <c r="H32" i="8" s="1"/>
  <c r="J27" i="8"/>
  <c r="J26" i="8"/>
  <c r="J25" i="8"/>
  <c r="J32" i="8" s="1"/>
  <c r="J23" i="8"/>
  <c r="J58" i="8" s="1"/>
  <c r="J59" i="8" s="1"/>
  <c r="I23" i="8"/>
  <c r="I58" i="8" s="1"/>
  <c r="I59" i="8" s="1"/>
  <c r="H23" i="8"/>
  <c r="H58" i="8" s="1"/>
  <c r="H59" i="8" s="1"/>
  <c r="J22" i="8"/>
  <c r="J43" i="8" s="1"/>
  <c r="J41" i="9" l="1"/>
  <c r="J43" i="9" s="1"/>
  <c r="F54" i="3"/>
  <c r="J41" i="8"/>
  <c r="J45" i="8" s="1"/>
  <c r="J42" i="8"/>
  <c r="H34" i="9"/>
  <c r="I45" i="9"/>
  <c r="I34" i="9"/>
  <c r="H45" i="9"/>
  <c r="J34" i="9"/>
  <c r="J37" i="9" s="1"/>
  <c r="J45" i="9"/>
  <c r="H58" i="9"/>
  <c r="H59" i="9" s="1"/>
  <c r="H34" i="8"/>
  <c r="H37" i="8" s="1"/>
  <c r="I48" i="8"/>
  <c r="I46" i="8"/>
  <c r="I34" i="8"/>
  <c r="I37" i="8" s="1"/>
  <c r="H48" i="8"/>
  <c r="H46" i="8"/>
  <c r="H50" i="8" s="1"/>
  <c r="H52" i="8" s="1"/>
  <c r="J34" i="8"/>
  <c r="J61" i="8" s="1"/>
  <c r="J48" i="9" l="1"/>
  <c r="J51" i="9" s="1"/>
  <c r="J37" i="8"/>
  <c r="J61" i="9"/>
  <c r="E20" i="2"/>
  <c r="F20" i="2" s="1"/>
  <c r="F46" i="3"/>
  <c r="D20" i="2"/>
  <c r="C20" i="2" s="1"/>
  <c r="D46" i="3" s="1"/>
  <c r="E46" i="3"/>
  <c r="I48" i="9"/>
  <c r="I51" i="9" s="1"/>
  <c r="I37" i="9"/>
  <c r="I61" i="9"/>
  <c r="H37" i="9"/>
  <c r="H48" i="9"/>
  <c r="H51" i="9" s="1"/>
  <c r="H61" i="9"/>
  <c r="J48" i="8"/>
  <c r="J46" i="8"/>
  <c r="J50" i="8" s="1"/>
  <c r="I63" i="8"/>
  <c r="I50" i="8"/>
  <c r="J63" i="8"/>
  <c r="H63" i="8"/>
  <c r="I61" i="8"/>
  <c r="H61" i="8"/>
  <c r="H63" i="9" l="1"/>
  <c r="D56" i="3"/>
  <c r="I63" i="9"/>
  <c r="E56" i="3"/>
  <c r="J63" i="9"/>
  <c r="F56" i="3"/>
  <c r="I52" i="8"/>
  <c r="D15" i="7"/>
  <c r="J52" i="8"/>
  <c r="E15" i="7"/>
  <c r="F49" i="6" s="1"/>
  <c r="E9" i="2"/>
  <c r="E12" i="2"/>
  <c r="F26" i="3" s="1"/>
  <c r="E29" i="2"/>
  <c r="F30" i="3" s="1"/>
  <c r="E30" i="2"/>
  <c r="E31" i="2"/>
  <c r="E32" i="2"/>
  <c r="E34" i="2"/>
  <c r="F33" i="3" s="1"/>
  <c r="E28" i="2"/>
  <c r="F31" i="3" l="1"/>
  <c r="F29" i="3"/>
  <c r="E37" i="2"/>
  <c r="E49" i="6"/>
  <c r="C15" i="7"/>
  <c r="D49" i="6" s="1"/>
  <c r="E22" i="7"/>
  <c r="E23" i="7"/>
  <c r="E24" i="7"/>
  <c r="E25" i="7"/>
  <c r="F35" i="6" s="1"/>
  <c r="E26" i="7"/>
  <c r="F36" i="6" s="1"/>
  <c r="E21" i="7"/>
  <c r="F33" i="6" s="1"/>
  <c r="E8" i="7"/>
  <c r="AB33" i="2"/>
  <c r="E13" i="2" l="1"/>
  <c r="E18" i="2" s="1"/>
  <c r="F34" i="6"/>
  <c r="F36" i="3"/>
  <c r="E38" i="2"/>
  <c r="F38" i="3" s="1"/>
  <c r="E30" i="7"/>
  <c r="F39" i="6" s="1"/>
  <c r="E9" i="7"/>
  <c r="F29" i="6" s="1"/>
  <c r="F28" i="6"/>
  <c r="D9" i="2"/>
  <c r="B9" i="2"/>
  <c r="E14" i="2" l="1"/>
  <c r="E15" i="2" s="1"/>
  <c r="F40" i="3" s="1"/>
  <c r="E22" i="2"/>
  <c r="F48" i="3" s="1"/>
  <c r="F50" i="3" s="1"/>
  <c r="F42" i="3"/>
  <c r="F44" i="3" s="1"/>
  <c r="E29" i="3"/>
  <c r="E30" i="3"/>
  <c r="E33" i="3"/>
  <c r="O54" i="2"/>
  <c r="O84" i="2" s="1"/>
  <c r="N54" i="2"/>
  <c r="N84" i="2" s="1"/>
  <c r="M54" i="2"/>
  <c r="M84" i="2" s="1"/>
  <c r="L54" i="2"/>
  <c r="L84" i="2" s="1"/>
  <c r="K54" i="2"/>
  <c r="K84" i="2" s="1"/>
  <c r="J54" i="2"/>
  <c r="J84" i="2" s="1"/>
  <c r="I54" i="2"/>
  <c r="I84" i="2" s="1"/>
  <c r="O53" i="2"/>
  <c r="O83" i="2" s="1"/>
  <c r="N53" i="2"/>
  <c r="N83" i="2" s="1"/>
  <c r="M53" i="2"/>
  <c r="M83" i="2" s="1"/>
  <c r="L53" i="2"/>
  <c r="L83" i="2" s="1"/>
  <c r="K53" i="2"/>
  <c r="J53" i="2"/>
  <c r="J83" i="2" s="1"/>
  <c r="I53" i="2"/>
  <c r="I83" i="2" s="1"/>
  <c r="O52" i="2"/>
  <c r="O82" i="2" s="1"/>
  <c r="N52" i="2"/>
  <c r="N82" i="2" s="1"/>
  <c r="M52" i="2"/>
  <c r="M82" i="2" s="1"/>
  <c r="L52" i="2"/>
  <c r="L82" i="2" s="1"/>
  <c r="K52" i="2"/>
  <c r="K82" i="2" s="1"/>
  <c r="J52" i="2"/>
  <c r="J82" i="2" s="1"/>
  <c r="I52" i="2"/>
  <c r="I82" i="2" s="1"/>
  <c r="O51" i="2"/>
  <c r="O81" i="2" s="1"/>
  <c r="N51" i="2"/>
  <c r="N81" i="2" s="1"/>
  <c r="M51" i="2"/>
  <c r="M81" i="2" s="1"/>
  <c r="L51" i="2"/>
  <c r="L81" i="2" s="1"/>
  <c r="K51" i="2"/>
  <c r="K81" i="2" s="1"/>
  <c r="J51" i="2"/>
  <c r="J81" i="2" s="1"/>
  <c r="I51" i="2"/>
  <c r="I81" i="2" s="1"/>
  <c r="K29" i="2"/>
  <c r="T29" i="2" s="1"/>
  <c r="T36" i="2" s="1"/>
  <c r="L29" i="2"/>
  <c r="U29" i="2" s="1"/>
  <c r="U36" i="2" s="1"/>
  <c r="D11" i="2" l="1"/>
  <c r="F36" i="2" s="1"/>
  <c r="F37" i="2" s="1"/>
  <c r="K83" i="2"/>
  <c r="L43" i="2"/>
  <c r="L36" i="2"/>
  <c r="B11" i="2"/>
  <c r="B13" i="2" s="1"/>
  <c r="B14" i="2" s="1"/>
  <c r="B15" i="2" s="1"/>
  <c r="K43" i="2"/>
  <c r="K36" i="2"/>
  <c r="D38" i="2"/>
  <c r="C8" i="7"/>
  <c r="E25" i="3" l="1"/>
  <c r="F11" i="2"/>
  <c r="D12" i="2"/>
  <c r="E26" i="3" s="1"/>
  <c r="B12" i="2"/>
  <c r="E35" i="3"/>
  <c r="C39" i="6"/>
  <c r="D39" i="6"/>
  <c r="C35" i="6"/>
  <c r="C36" i="6"/>
  <c r="C33" i="6"/>
  <c r="D36" i="6"/>
  <c r="D26" i="7"/>
  <c r="D30" i="7" s="1"/>
  <c r="C9" i="7"/>
  <c r="F13" i="2" l="1"/>
  <c r="F14" i="2" s="1"/>
  <c r="F15" i="2" s="1"/>
  <c r="D13" i="2"/>
  <c r="D14" i="2" s="1"/>
  <c r="D15" i="2" s="1"/>
  <c r="F12" i="2"/>
  <c r="D18" i="2"/>
  <c r="D22" i="2" s="1"/>
  <c r="E40" i="3"/>
  <c r="F38" i="2"/>
  <c r="E38" i="3" s="1"/>
  <c r="E36" i="3"/>
  <c r="E10" i="7"/>
  <c r="E32" i="7"/>
  <c r="F41" i="6" s="1"/>
  <c r="C10" i="7"/>
  <c r="C13" i="7" s="1"/>
  <c r="C17" i="7" s="1"/>
  <c r="D32" i="7"/>
  <c r="E41" i="6" s="1"/>
  <c r="C32" i="7"/>
  <c r="E39" i="6"/>
  <c r="B32" i="7"/>
  <c r="C41" i="6" s="1"/>
  <c r="E36" i="6"/>
  <c r="D29" i="6"/>
  <c r="D28" i="6"/>
  <c r="F18" i="2" l="1"/>
  <c r="F22" i="2" s="1"/>
  <c r="E48" i="3" s="1"/>
  <c r="D45" i="6"/>
  <c r="D51" i="6"/>
  <c r="E11" i="7"/>
  <c r="E12" i="7" s="1"/>
  <c r="F43" i="6" s="1"/>
  <c r="F30" i="6"/>
  <c r="E13" i="7"/>
  <c r="D41" i="6"/>
  <c r="D30" i="6"/>
  <c r="C11" i="7"/>
  <c r="C12" i="7" s="1"/>
  <c r="D43" i="6" s="1"/>
  <c r="E42" i="3" l="1"/>
  <c r="F45" i="6"/>
  <c r="E17" i="7"/>
  <c r="F51" i="6" s="1"/>
  <c r="B4" i="7"/>
  <c r="M22" i="7"/>
  <c r="M64" i="7" s="1"/>
  <c r="M21" i="7"/>
  <c r="M63" i="7" s="1"/>
  <c r="N21" i="7"/>
  <c r="O21" i="7"/>
  <c r="Q17" i="7"/>
  <c r="Q59" i="7" s="1"/>
  <c r="Q18" i="7"/>
  <c r="Q60" i="7" s="1"/>
  <c r="Q19" i="7"/>
  <c r="Q61" i="7" s="1"/>
  <c r="Q20" i="7"/>
  <c r="Q62" i="7" s="1"/>
  <c r="Q21" i="7"/>
  <c r="Q63" i="7" s="1"/>
  <c r="Q22" i="7"/>
  <c r="Q64" i="7" s="1"/>
  <c r="Q16" i="7"/>
  <c r="Q58" i="7" s="1"/>
  <c r="R16" i="7"/>
  <c r="R58" i="7" s="1"/>
  <c r="R17" i="7"/>
  <c r="R59" i="7" s="1"/>
  <c r="R18" i="7"/>
  <c r="R60" i="7" s="1"/>
  <c r="R19" i="7"/>
  <c r="R61" i="7" s="1"/>
  <c r="R20" i="7"/>
  <c r="R62" i="7" s="1"/>
  <c r="R21" i="7"/>
  <c r="R63" i="7" s="1"/>
  <c r="R22" i="7"/>
  <c r="R64" i="7" s="1"/>
  <c r="P23" i="7"/>
  <c r="P65" i="7" s="1"/>
  <c r="M23" i="7"/>
  <c r="M65" i="7" s="1"/>
  <c r="N23" i="7"/>
  <c r="N65" i="7" s="1"/>
  <c r="O23" i="7"/>
  <c r="O65" i="7" s="1"/>
  <c r="Q23" i="7"/>
  <c r="Q65" i="7" s="1"/>
  <c r="R23" i="7"/>
  <c r="R65" i="7" s="1"/>
  <c r="L23" i="7"/>
  <c r="L65" i="7" s="1"/>
  <c r="L22" i="7"/>
  <c r="L64" i="7" s="1"/>
  <c r="N22" i="7"/>
  <c r="N64" i="7" s="1"/>
  <c r="O22" i="7"/>
  <c r="O64" i="7" s="1"/>
  <c r="P22" i="7"/>
  <c r="P64" i="7" s="1"/>
  <c r="P21" i="7"/>
  <c r="P63" i="7" s="1"/>
  <c r="B8" i="7"/>
  <c r="B9" i="7" s="1"/>
  <c r="L17" i="7"/>
  <c r="L59" i="7" s="1"/>
  <c r="L18" i="7"/>
  <c r="L60" i="7" s="1"/>
  <c r="L19" i="7"/>
  <c r="L61" i="7" s="1"/>
  <c r="L20" i="7"/>
  <c r="L62" i="7" s="1"/>
  <c r="L21" i="7"/>
  <c r="L63" i="7" s="1"/>
  <c r="L16" i="7"/>
  <c r="L58" i="7" s="1"/>
  <c r="O7" i="5"/>
  <c r="O5" i="5"/>
  <c r="O6" i="5"/>
  <c r="M5" i="5"/>
  <c r="N5" i="5"/>
  <c r="M6" i="5"/>
  <c r="N6" i="5"/>
  <c r="N7" i="5"/>
  <c r="M7" i="5"/>
  <c r="Q7" i="5"/>
  <c r="P8" i="5"/>
  <c r="P7" i="5"/>
  <c r="P6" i="5"/>
  <c r="P5" i="5"/>
  <c r="O8" i="5"/>
  <c r="N8" i="5"/>
  <c r="M8" i="5"/>
  <c r="L8" i="5"/>
  <c r="L7" i="5"/>
  <c r="Q8" i="5"/>
  <c r="R6" i="5"/>
  <c r="R7" i="5"/>
  <c r="R8" i="5"/>
  <c r="R5" i="5"/>
  <c r="Q6" i="5"/>
  <c r="Q5" i="5"/>
  <c r="L6" i="5"/>
  <c r="L5" i="5"/>
  <c r="H6" i="5"/>
  <c r="H7" i="5"/>
  <c r="H8" i="5"/>
  <c r="H5" i="5"/>
  <c r="B8" i="5"/>
  <c r="C8" i="5"/>
  <c r="D8" i="5"/>
  <c r="E8" i="5"/>
  <c r="F8" i="5"/>
  <c r="G8" i="5"/>
  <c r="G6" i="5"/>
  <c r="G7" i="5"/>
  <c r="G5" i="5"/>
  <c r="F6" i="5"/>
  <c r="F7" i="5"/>
  <c r="F5" i="5"/>
  <c r="B6" i="5"/>
  <c r="B7" i="5"/>
  <c r="B5" i="5"/>
  <c r="C6" i="5"/>
  <c r="D6" i="5"/>
  <c r="D5" i="5"/>
  <c r="C5" i="5"/>
  <c r="C7" i="5"/>
  <c r="D7" i="5"/>
  <c r="E7" i="5"/>
  <c r="E6" i="5"/>
  <c r="E5" i="5"/>
  <c r="D30" i="3"/>
  <c r="D33" i="3"/>
  <c r="D36" i="3"/>
  <c r="D29" i="3"/>
  <c r="O63" i="7" l="1"/>
  <c r="V19" i="7"/>
  <c r="V25" i="7" s="1"/>
  <c r="N63" i="7"/>
  <c r="U19" i="7"/>
  <c r="U25" i="7" s="1"/>
  <c r="F47" i="6"/>
  <c r="F53" i="6"/>
  <c r="D8" i="7"/>
  <c r="E28" i="6" s="1"/>
  <c r="B10" i="7"/>
  <c r="B38" i="2"/>
  <c r="C38" i="3" s="1"/>
  <c r="C38" i="2"/>
  <c r="D38" i="3" s="1"/>
  <c r="C29" i="3"/>
  <c r="C30" i="3"/>
  <c r="C33" i="3"/>
  <c r="D9" i="7" l="1"/>
  <c r="D10" i="7" s="1"/>
  <c r="D13" i="7" s="1"/>
  <c r="D17" i="7" s="1"/>
  <c r="E51" i="6" s="1"/>
  <c r="C36" i="3"/>
  <c r="C28" i="6"/>
  <c r="D3" i="3"/>
  <c r="E29" i="6" l="1"/>
  <c r="E45" i="6"/>
  <c r="E30" i="6"/>
  <c r="D11" i="7"/>
  <c r="D12" i="7" s="1"/>
  <c r="E43" i="6" s="1"/>
  <c r="I20" i="2"/>
  <c r="J20" i="2"/>
  <c r="K20" i="2"/>
  <c r="L20" i="2"/>
  <c r="M20" i="2"/>
  <c r="N20" i="2"/>
  <c r="O20" i="2"/>
  <c r="I22" i="2"/>
  <c r="J22" i="2"/>
  <c r="K22" i="2"/>
  <c r="L22" i="2"/>
  <c r="M22" i="2"/>
  <c r="N22" i="2"/>
  <c r="O22" i="2"/>
  <c r="I23" i="2"/>
  <c r="J23" i="2"/>
  <c r="K23" i="2"/>
  <c r="L23" i="2"/>
  <c r="M23" i="2"/>
  <c r="N23" i="2"/>
  <c r="O23" i="2"/>
  <c r="O19" i="2"/>
  <c r="N19" i="2"/>
  <c r="M19" i="2"/>
  <c r="L19" i="2"/>
  <c r="K19" i="2"/>
  <c r="J19" i="2"/>
  <c r="I19" i="2"/>
  <c r="O44" i="2" l="1"/>
  <c r="O37" i="2"/>
  <c r="O42" i="2"/>
  <c r="O35" i="2"/>
  <c r="O41" i="2"/>
  <c r="O34" i="2"/>
  <c r="N44" i="2"/>
  <c r="N37" i="2"/>
  <c r="N42" i="2"/>
  <c r="N35" i="2"/>
  <c r="N41" i="2"/>
  <c r="N34" i="2"/>
  <c r="M44" i="2"/>
  <c r="M37" i="2"/>
  <c r="M42" i="2"/>
  <c r="M35" i="2"/>
  <c r="M41" i="2"/>
  <c r="M34" i="2"/>
  <c r="L44" i="2"/>
  <c r="L37" i="2"/>
  <c r="L42" i="2"/>
  <c r="L35" i="2"/>
  <c r="L41" i="2"/>
  <c r="L34" i="2"/>
  <c r="K44" i="2"/>
  <c r="K37" i="2"/>
  <c r="K42" i="2"/>
  <c r="K35" i="2"/>
  <c r="K41" i="2"/>
  <c r="K34" i="2"/>
  <c r="J44" i="2"/>
  <c r="J37" i="2"/>
  <c r="J42" i="2"/>
  <c r="J35" i="2"/>
  <c r="J41" i="2"/>
  <c r="J34" i="2"/>
  <c r="I44" i="2"/>
  <c r="I37" i="2"/>
  <c r="I42" i="2"/>
  <c r="I35" i="2"/>
  <c r="I41" i="2"/>
  <c r="I34" i="2"/>
  <c r="C11" i="2"/>
  <c r="C12" i="2" s="1"/>
  <c r="F3" i="3"/>
  <c r="B6" i="2"/>
  <c r="C13" i="2" l="1"/>
  <c r="C18" i="2" s="1"/>
  <c r="D25" i="3"/>
  <c r="D26" i="3" s="1"/>
  <c r="C25" i="3"/>
  <c r="C22" i="2" l="1"/>
  <c r="D48" i="3" s="1"/>
  <c r="D42" i="3"/>
  <c r="C14" i="2"/>
  <c r="C15" i="2" s="1"/>
  <c r="D40" i="3" s="1"/>
  <c r="C40" i="3"/>
  <c r="B16" i="2"/>
  <c r="B18" i="2" s="1"/>
  <c r="B22" i="2" s="1"/>
  <c r="C26" i="3"/>
  <c r="C42" i="3" l="1"/>
  <c r="C48" i="3"/>
  <c r="B13" i="7"/>
  <c r="C29" i="6"/>
  <c r="C56" i="3" l="1"/>
  <c r="D58" i="3"/>
  <c r="E50" i="3"/>
  <c r="E58" i="3"/>
  <c r="D50" i="3"/>
  <c r="F58" i="3"/>
  <c r="E44" i="3"/>
  <c r="D44" i="3"/>
  <c r="C30" i="6"/>
  <c r="B17" i="7"/>
  <c r="C51" i="6" s="1"/>
  <c r="B11" i="7"/>
  <c r="B12" i="7" s="1"/>
  <c r="C43" i="6" s="1"/>
  <c r="D53" i="6" l="1"/>
  <c r="E53" i="6"/>
  <c r="C45" i="6"/>
  <c r="C14" i="7"/>
  <c r="E14" i="7"/>
  <c r="D14" i="7"/>
  <c r="D47" i="6" l="1"/>
  <c r="E47" i="6"/>
</calcChain>
</file>

<file path=xl/comments1.xml><?xml version="1.0" encoding="utf-8"?>
<comments xmlns="http://schemas.openxmlformats.org/spreadsheetml/2006/main">
  <authors>
    <author>Harrison</author>
  </authors>
  <commentList>
    <comment ref="I48" authorId="0">
      <text>
        <r>
          <rPr>
            <b/>
            <sz val="9"/>
            <color indexed="81"/>
            <rFont val="Tahoma"/>
            <family val="2"/>
          </rPr>
          <t>Harrison:</t>
        </r>
        <r>
          <rPr>
            <sz val="9"/>
            <color indexed="81"/>
            <rFont val="Tahoma"/>
            <family val="2"/>
          </rPr>
          <t xml:space="preserve">
Average of R2 3L E3H &amp; U3H</t>
        </r>
      </text>
    </comment>
    <comment ref="L48" authorId="0">
      <text>
        <r>
          <rPr>
            <b/>
            <sz val="9"/>
            <color indexed="81"/>
            <rFont val="Tahoma"/>
            <family val="2"/>
          </rPr>
          <t>Harrison:</t>
        </r>
        <r>
          <rPr>
            <sz val="9"/>
            <color indexed="81"/>
            <rFont val="Tahoma"/>
            <family val="2"/>
          </rPr>
          <t xml:space="preserve">
Average R2, R3L, E3H &amp; U3H</t>
        </r>
      </text>
    </comment>
  </commentList>
</comments>
</file>

<file path=xl/comments2.xml><?xml version="1.0" encoding="utf-8"?>
<comments xmlns="http://schemas.openxmlformats.org/spreadsheetml/2006/main">
  <authors>
    <author>Harrison</author>
  </authors>
  <commentList>
    <comment ref="L2" authorId="0">
      <text>
        <r>
          <rPr>
            <b/>
            <sz val="9"/>
            <color indexed="81"/>
            <rFont val="Tahoma"/>
            <family val="2"/>
          </rPr>
          <t>Harrison:</t>
        </r>
        <r>
          <rPr>
            <sz val="9"/>
            <color indexed="81"/>
            <rFont val="Tahoma"/>
            <family val="2"/>
          </rPr>
          <t xml:space="preserve">
Average of GB R3 &amp; R4L</t>
        </r>
      </text>
    </comment>
  </commentList>
</comments>
</file>

<file path=xl/sharedStrings.xml><?xml version="1.0" encoding="utf-8"?>
<sst xmlns="http://schemas.openxmlformats.org/spreadsheetml/2006/main" count="798" uniqueCount="229">
  <si>
    <t>insurance</t>
  </si>
  <si>
    <t>marketing levy</t>
  </si>
  <si>
    <t>inspection</t>
  </si>
  <si>
    <t>grading</t>
  </si>
  <si>
    <t>waste disposal</t>
  </si>
  <si>
    <t>3L</t>
  </si>
  <si>
    <t>3H</t>
  </si>
  <si>
    <t>4L</t>
  </si>
  <si>
    <t>4H</t>
  </si>
  <si>
    <t>E</t>
  </si>
  <si>
    <t>U</t>
  </si>
  <si>
    <t>R</t>
  </si>
  <si>
    <t>O</t>
  </si>
  <si>
    <t>P</t>
  </si>
  <si>
    <t>Eblex grid</t>
  </si>
  <si>
    <t>IoMMs</t>
  </si>
  <si>
    <t>Weight</t>
  </si>
  <si>
    <t>Example</t>
  </si>
  <si>
    <t>Price</t>
  </si>
  <si>
    <t>AHDB Sheep</t>
  </si>
  <si>
    <t>AHDB</t>
  </si>
  <si>
    <t>Check</t>
  </si>
  <si>
    <t>Max carcass weight</t>
  </si>
  <si>
    <t>Min carcass weight</t>
  </si>
  <si>
    <t>Min carcass deduct</t>
  </si>
  <si>
    <t>Num</t>
  </si>
  <si>
    <t>p/kg</t>
  </si>
  <si>
    <t>AHDB number</t>
  </si>
  <si>
    <t>Gross p/kg</t>
  </si>
  <si>
    <t>Deductions p/kg</t>
  </si>
  <si>
    <t>Total deductions</t>
  </si>
  <si>
    <t>Net price</t>
  </si>
  <si>
    <t>Week ending</t>
  </si>
  <si>
    <t>Your Lamb value</t>
  </si>
  <si>
    <t>Max weight</t>
  </si>
  <si>
    <t>13-14.5</t>
  </si>
  <si>
    <t>-20p</t>
  </si>
  <si>
    <t>7-12.5</t>
  </si>
  <si>
    <t>-35p</t>
  </si>
  <si>
    <t>&lt;7</t>
  </si>
  <si>
    <t>value</t>
  </si>
  <si>
    <t>21kg</t>
  </si>
  <si>
    <t>Your figures</t>
  </si>
  <si>
    <t>Enter your data in boxes highlighted in Yellow</t>
  </si>
  <si>
    <t>Your lamb grade</t>
  </si>
  <si>
    <t>Realisation</t>
  </si>
  <si>
    <t>kg</t>
  </si>
  <si>
    <t>Transport contribution</t>
  </si>
  <si>
    <t>IoMMs  Pence</t>
  </si>
  <si>
    <t>Waste disposal</t>
  </si>
  <si>
    <t>Base price</t>
  </si>
  <si>
    <t>IoMMs Lamb Grid</t>
  </si>
  <si>
    <t xml:space="preserve">Base price </t>
  </si>
  <si>
    <t>Dunbia Lamb grid</t>
  </si>
  <si>
    <t>U+</t>
  </si>
  <si>
    <t>O+</t>
  </si>
  <si>
    <t>P+</t>
  </si>
  <si>
    <t>-P</t>
  </si>
  <si>
    <t>-O</t>
  </si>
  <si>
    <t>-U</t>
  </si>
  <si>
    <t>5L</t>
  </si>
  <si>
    <t>5H</t>
  </si>
  <si>
    <t>Dumbia</t>
  </si>
  <si>
    <t>Inspection</t>
  </si>
  <si>
    <t>WD/TSE</t>
  </si>
  <si>
    <t>Insurance</t>
  </si>
  <si>
    <t>Your grade</t>
  </si>
  <si>
    <t>Age</t>
  </si>
  <si>
    <t>O36M</t>
  </si>
  <si>
    <t>U36M</t>
  </si>
  <si>
    <t>Age data</t>
  </si>
  <si>
    <t xml:space="preserve">AHDB </t>
  </si>
  <si>
    <t>IoMMs Carcass cut offs</t>
  </si>
  <si>
    <t>Dunbia cut offs</t>
  </si>
  <si>
    <t>Weight from Cattle</t>
  </si>
  <si>
    <t>Your Steer Price</t>
  </si>
  <si>
    <t>Gross value</t>
  </si>
  <si>
    <t>Waste disposal/TSE</t>
  </si>
  <si>
    <t>Abattoir</t>
  </si>
  <si>
    <t xml:space="preserve">IoMMs </t>
  </si>
  <si>
    <t>Levy</t>
  </si>
  <si>
    <t>Grading</t>
  </si>
  <si>
    <t>Gross</t>
  </si>
  <si>
    <t>Net</t>
  </si>
  <si>
    <t>Value</t>
  </si>
  <si>
    <t>Net/kg</t>
  </si>
  <si>
    <t>After deductions</t>
  </si>
  <si>
    <t>Your Steer value</t>
  </si>
  <si>
    <t>Net animal value</t>
  </si>
  <si>
    <t>Dunbia</t>
  </si>
  <si>
    <t>Check Weight</t>
  </si>
  <si>
    <t>Check grade</t>
  </si>
  <si>
    <t>IoMMS</t>
  </si>
  <si>
    <t>Trim adjustment</t>
  </si>
  <si>
    <t>Kidney Knob &amp; channel fat</t>
  </si>
  <si>
    <t>Tail</t>
  </si>
  <si>
    <t>IoMMs rounding</t>
  </si>
  <si>
    <t>Your value</t>
  </si>
  <si>
    <t>Select Age and Grade from drop down boxes</t>
  </si>
  <si>
    <t>Select weight and Grade from dropdown boxes</t>
  </si>
  <si>
    <t>Marketing levy</t>
  </si>
  <si>
    <t>Your data</t>
  </si>
  <si>
    <t>Number of fat lambs</t>
  </si>
  <si>
    <t>Price per kg liveweight</t>
  </si>
  <si>
    <t>Average dead weight</t>
  </si>
  <si>
    <t>KO%</t>
  </si>
  <si>
    <t>Export certificate cost</t>
  </si>
  <si>
    <t xml:space="preserve">Steam packet </t>
  </si>
  <si>
    <t xml:space="preserve">Wagon </t>
  </si>
  <si>
    <t>Vet inspection cost Total</t>
  </si>
  <si>
    <t xml:space="preserve">MLC Levy per head </t>
  </si>
  <si>
    <t>Inspection charges etc</t>
  </si>
  <si>
    <t>Mart Commission %</t>
  </si>
  <si>
    <t>Insurance per head</t>
  </si>
  <si>
    <t>Lamb export costs.</t>
  </si>
  <si>
    <t>Your Data</t>
  </si>
  <si>
    <t>Ridged</t>
  </si>
  <si>
    <t>40ft trailer</t>
  </si>
  <si>
    <t>Number of cattle</t>
  </si>
  <si>
    <t>Export shipping costs</t>
  </si>
  <si>
    <t>Export certificate</t>
  </si>
  <si>
    <t>£/hr</t>
  </si>
  <si>
    <t>Inspection cost - Private Vet.</t>
  </si>
  <si>
    <t>Hours</t>
  </si>
  <si>
    <t>Cost per beast delivered to UK abattoir</t>
  </si>
  <si>
    <t>Cost per kg dead weight</t>
  </si>
  <si>
    <t>Abattoir costs</t>
  </si>
  <si>
    <t>Inspection charges</t>
  </si>
  <si>
    <t>Total</t>
  </si>
  <si>
    <t>Per head</t>
  </si>
  <si>
    <t>Total cost of load</t>
  </si>
  <si>
    <t>Total cost per head of direct export to slaughter</t>
  </si>
  <si>
    <t xml:space="preserve">Cost per kg direct export to slaughter </t>
  </si>
  <si>
    <t>UK auction costs</t>
  </si>
  <si>
    <t>Commission per head</t>
  </si>
  <si>
    <t>Per kg</t>
  </si>
  <si>
    <t>Total cost per head of export and Mart sale</t>
  </si>
  <si>
    <t>Inspection cost Vet Total</t>
  </si>
  <si>
    <t>Insurance 10p per head</t>
  </si>
  <si>
    <t>Export to abattoir</t>
  </si>
  <si>
    <t>Net return</t>
  </si>
  <si>
    <t>Cattle export costs.</t>
  </si>
  <si>
    <t>Number of Cattle</t>
  </si>
  <si>
    <t>Price p/kg</t>
  </si>
  <si>
    <t>Carcass weight</t>
  </si>
  <si>
    <t>Week Number</t>
  </si>
  <si>
    <t xml:space="preserve">Compararive data for week ending </t>
  </si>
  <si>
    <t>Number of lambs</t>
  </si>
  <si>
    <t>Compare Lamb Prices, IoMMs vs GB and with different dressing specifications</t>
  </si>
  <si>
    <t>Compare Cattle Prices, IoMMs vs GB and with different dressing specifications</t>
  </si>
  <si>
    <t>Insert your data into the boxes highlighted in Yellow</t>
  </si>
  <si>
    <t>Total cost</t>
  </si>
  <si>
    <t xml:space="preserve">Levy per head </t>
  </si>
  <si>
    <t>Cattle Export cost calculator</t>
  </si>
  <si>
    <t>Lamb Export cost calculator</t>
  </si>
  <si>
    <t>Cost per head delivered to UK abattoir</t>
  </si>
  <si>
    <t>Insurance £ per head</t>
  </si>
  <si>
    <t xml:space="preserve">Total cost per head of direct export to slaughter </t>
  </si>
  <si>
    <t>Total cost per head of Export and Mart sale excl VAT</t>
  </si>
  <si>
    <t>Steam packet</t>
  </si>
  <si>
    <t>Wagon</t>
  </si>
  <si>
    <t>Price per kg deadweight</t>
  </si>
  <si>
    <t xml:space="preserve">Cost per kg of export and sale at Mart </t>
  </si>
  <si>
    <t>Tail &amp; Kidney Knob</t>
  </si>
  <si>
    <t>Tail etc</t>
  </si>
  <si>
    <t>Abattoir pence</t>
  </si>
  <si>
    <t>Belly clipping</t>
  </si>
  <si>
    <t>Belly clipping etc</t>
  </si>
  <si>
    <t>Other</t>
  </si>
  <si>
    <t xml:space="preserve">Other </t>
  </si>
  <si>
    <t>Comparative data for week ending</t>
  </si>
  <si>
    <t>Deductions  £/head</t>
  </si>
  <si>
    <t>Deductions       £/head</t>
  </si>
  <si>
    <t>£/head</t>
  </si>
  <si>
    <t>Deductions  pence/head</t>
  </si>
  <si>
    <t>Pence/head</t>
  </si>
  <si>
    <t>Prices p/kg</t>
  </si>
  <si>
    <t>Great Britain</t>
  </si>
  <si>
    <t>Southern</t>
  </si>
  <si>
    <t>Central</t>
  </si>
  <si>
    <t>Northern</t>
  </si>
  <si>
    <t>Scotland</t>
  </si>
  <si>
    <t>Overall Average</t>
  </si>
  <si>
    <t>Numbers</t>
  </si>
  <si>
    <t>AHDB Northern</t>
  </si>
  <si>
    <t>Data date week ending</t>
  </si>
  <si>
    <t>Week</t>
  </si>
  <si>
    <t>Number   Northern</t>
  </si>
  <si>
    <t>Grading &amp; Inspection</t>
  </si>
  <si>
    <t>Delivery to abattoir</t>
  </si>
  <si>
    <t>Transport £</t>
  </si>
  <si>
    <t>UK Spec Pence</t>
  </si>
  <si>
    <t>IoMMs % of UK</t>
  </si>
  <si>
    <t>Total cost per kg dwt of Export and Mart sale excl VAT</t>
  </si>
  <si>
    <t>Bonus applied</t>
  </si>
  <si>
    <t>No of cattle</t>
  </si>
  <si>
    <t>http://beefandlamb.ahdb.org.uk/markets/deadweight-price-reports/deadweight-sheep-price-reporting/</t>
  </si>
  <si>
    <t>Export Inspection charges</t>
  </si>
  <si>
    <t>Mart Meat Inspection Charge</t>
  </si>
  <si>
    <t>M. I. C. Mart</t>
  </si>
  <si>
    <t>Average live wt weight</t>
  </si>
  <si>
    <t>kg dwt</t>
  </si>
  <si>
    <t>Export to UK Mart</t>
  </si>
  <si>
    <t>IoMMs % of UK Mart</t>
  </si>
  <si>
    <t>dwt</t>
  </si>
  <si>
    <t>Price dwt p/kg</t>
  </si>
  <si>
    <t xml:space="preserve">Gross p/kg  </t>
  </si>
  <si>
    <t>Net Price (weight deducts)</t>
  </si>
  <si>
    <t>Per kg dwt</t>
  </si>
  <si>
    <t>http://beefandlamb.ahdb.org.uk/markets/deadweight-price-reports/deadweight-cattle-prices/</t>
  </si>
  <si>
    <t xml:space="preserve">Standard lamb export costs </t>
  </si>
  <si>
    <t>Number of Lambs</t>
  </si>
  <si>
    <t>IoM Eblex</t>
  </si>
  <si>
    <t>Dumbia %</t>
  </si>
  <si>
    <t>IoMMs %</t>
  </si>
  <si>
    <t>IoMMs from 29th July</t>
  </si>
  <si>
    <t>IoMMs vs AHDB</t>
  </si>
  <si>
    <t xml:space="preserve"> </t>
  </si>
  <si>
    <t>`</t>
  </si>
  <si>
    <t>Effective UK grid</t>
  </si>
  <si>
    <t>1+2 to all</t>
  </si>
  <si>
    <t>2 of 2&amp;3</t>
  </si>
  <si>
    <t>-</t>
  </si>
  <si>
    <t>No</t>
  </si>
  <si>
    <t>Number change</t>
  </si>
  <si>
    <t>Number 47073</t>
  </si>
  <si>
    <t>Price change 24.9</t>
  </si>
  <si>
    <t>Number 51109</t>
  </si>
  <si>
    <t>Price change 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</si>
</sst>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0.0%"/>
    <numFmt numFmtId="166" formatCode="0.0"/>
    <numFmt numFmtId="167" formatCode="_-* #,##0_-;\-* #,##0_-;_-* &quot;-&quot;??_-;_-@_-"/>
    <numFmt numFmtId="168" formatCode="0.0000000"/>
  </numFmts>
  <fonts count="26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8.8000000000000007"/>
      <color theme="1"/>
      <name val="Arial"/>
      <family val="2"/>
    </font>
    <font>
      <b/>
      <sz val="8.8000000000000007"/>
      <color rgb="FFFFFFFF"/>
      <name val="Arial"/>
      <family val="2"/>
    </font>
    <font>
      <b/>
      <sz val="11"/>
      <color rgb="FFFF0000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Tahoma"/>
      <family val="2"/>
    </font>
    <font>
      <sz val="11"/>
      <color indexed="52"/>
      <name val="Tahoma"/>
      <family val="2"/>
    </font>
    <font>
      <sz val="8.8000000000000007"/>
      <color rgb="FF008000"/>
      <name val="Arial"/>
      <family val="2"/>
    </font>
    <font>
      <sz val="8.8000000000000007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.8000000000000007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18561"/>
        <bgColor indexed="64"/>
      </patternFill>
    </fill>
    <fill>
      <patternFill patternType="solid">
        <fgColor rgb="FFDDE6D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1856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41856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/>
    <xf numFmtId="2" fontId="0" fillId="0" borderId="0" xfId="0" applyNumberFormat="1"/>
    <xf numFmtId="0" fontId="4" fillId="5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6" borderId="2" xfId="0" applyFont="1" applyFill="1" applyBorder="1" applyAlignment="1">
      <alignment horizontal="right" vertical="center" wrapText="1"/>
    </xf>
    <xf numFmtId="0" fontId="3" fillId="6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quotePrefix="1" applyAlignment="1">
      <alignment horizontal="right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1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/>
    <xf numFmtId="0" fontId="0" fillId="0" borderId="9" xfId="0" quotePrefix="1" applyFill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5" xfId="0" applyBorder="1" applyAlignment="1">
      <alignment horizontal="right"/>
    </xf>
    <xf numFmtId="0" fontId="0" fillId="0" borderId="1" xfId="0" applyFill="1" applyBorder="1"/>
    <xf numFmtId="164" fontId="0" fillId="0" borderId="1" xfId="0" applyNumberFormat="1" applyBorder="1"/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/>
    <xf numFmtId="164" fontId="0" fillId="0" borderId="19" xfId="0" applyNumberFormat="1" applyBorder="1"/>
    <xf numFmtId="9" fontId="0" fillId="0" borderId="1" xfId="0" applyNumberFormat="1" applyBorder="1"/>
    <xf numFmtId="9" fontId="0" fillId="0" borderId="20" xfId="0" applyNumberFormat="1" applyBorder="1"/>
    <xf numFmtId="0" fontId="0" fillId="0" borderId="21" xfId="0" applyBorder="1"/>
    <xf numFmtId="0" fontId="0" fillId="0" borderId="22" xfId="0" applyBorder="1"/>
    <xf numFmtId="0" fontId="0" fillId="0" borderId="5" xfId="0" applyBorder="1"/>
    <xf numFmtId="0" fontId="0" fillId="0" borderId="7" xfId="0" applyBorder="1"/>
    <xf numFmtId="0" fontId="0" fillId="0" borderId="0" xfId="0" applyProtection="1">
      <protection locked="0"/>
    </xf>
    <xf numFmtId="0" fontId="7" fillId="4" borderId="1" xfId="0" applyFon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0" borderId="0" xfId="0" applyProtection="1"/>
    <xf numFmtId="0" fontId="6" fillId="0" borderId="0" xfId="0" applyFont="1" applyProtection="1"/>
    <xf numFmtId="1" fontId="0" fillId="7" borderId="1" xfId="0" applyNumberFormat="1" applyFill="1" applyBorder="1" applyProtection="1"/>
    <xf numFmtId="0" fontId="7" fillId="7" borderId="1" xfId="0" applyFont="1" applyFill="1" applyBorder="1" applyProtection="1"/>
    <xf numFmtId="164" fontId="8" fillId="7" borderId="1" xfId="0" applyNumberFormat="1" applyFont="1" applyFill="1" applyBorder="1" applyProtection="1"/>
    <xf numFmtId="164" fontId="0" fillId="7" borderId="1" xfId="0" applyNumberFormat="1" applyFill="1" applyBorder="1" applyProtection="1"/>
    <xf numFmtId="0" fontId="6" fillId="0" borderId="1" xfId="0" applyFont="1" applyBorder="1" applyProtection="1"/>
    <xf numFmtId="0" fontId="6" fillId="0" borderId="0" xfId="0" applyFont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Protection="1"/>
    <xf numFmtId="164" fontId="6" fillId="0" borderId="0" xfId="0" applyNumberFormat="1" applyFont="1"/>
    <xf numFmtId="164" fontId="0" fillId="0" borderId="0" xfId="0" applyNumberFormat="1" applyProtection="1">
      <protection locked="0"/>
    </xf>
    <xf numFmtId="0" fontId="6" fillId="0" borderId="0" xfId="0" applyFont="1"/>
    <xf numFmtId="164" fontId="6" fillId="12" borderId="1" xfId="0" applyNumberFormat="1" applyFont="1" applyFill="1" applyBorder="1" applyProtection="1"/>
    <xf numFmtId="0" fontId="7" fillId="4" borderId="1" xfId="0" applyFon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6" fillId="12" borderId="1" xfId="0" applyNumberFormat="1" applyFont="1" applyFill="1" applyBorder="1" applyProtection="1"/>
    <xf numFmtId="0" fontId="16" fillId="0" borderId="0" xfId="0" applyFont="1" applyAlignment="1">
      <alignment horizontal="right" vertical="center" wrapText="1"/>
    </xf>
    <xf numFmtId="166" fontId="0" fillId="0" borderId="1" xfId="0" applyNumberFormat="1" applyBorder="1" applyAlignment="1">
      <alignment horizontal="center"/>
    </xf>
    <xf numFmtId="0" fontId="0" fillId="13" borderId="0" xfId="0" applyFill="1" applyProtection="1"/>
    <xf numFmtId="0" fontId="0" fillId="11" borderId="0" xfId="0" applyFill="1" applyProtection="1"/>
    <xf numFmtId="0" fontId="6" fillId="11" borderId="1" xfId="0" applyFont="1" applyFill="1" applyBorder="1" applyProtection="1"/>
    <xf numFmtId="0" fontId="0" fillId="11" borderId="1" xfId="0" applyFill="1" applyBorder="1" applyProtection="1"/>
    <xf numFmtId="0" fontId="0" fillId="11" borderId="1" xfId="0" applyFill="1" applyBorder="1" applyAlignment="1" applyProtection="1">
      <alignment horizontal="right"/>
    </xf>
    <xf numFmtId="2" fontId="6" fillId="12" borderId="1" xfId="0" applyNumberFormat="1" applyFont="1" applyFill="1" applyBorder="1" applyProtection="1"/>
    <xf numFmtId="0" fontId="0" fillId="14" borderId="0" xfId="0" applyFill="1" applyProtection="1"/>
    <xf numFmtId="2" fontId="6" fillId="14" borderId="0" xfId="0" applyNumberFormat="1" applyFont="1" applyFill="1" applyProtection="1"/>
    <xf numFmtId="0" fontId="6" fillId="14" borderId="0" xfId="0" applyFont="1" applyFill="1" applyProtection="1"/>
    <xf numFmtId="9" fontId="6" fillId="14" borderId="0" xfId="0" applyNumberFormat="1" applyFont="1" applyFill="1" applyProtection="1"/>
    <xf numFmtId="0" fontId="5" fillId="14" borderId="0" xfId="0" applyFont="1" applyFill="1" applyProtection="1"/>
    <xf numFmtId="0" fontId="2" fillId="14" borderId="0" xfId="0" applyFont="1" applyFill="1" applyProtection="1"/>
    <xf numFmtId="164" fontId="6" fillId="14" borderId="0" xfId="0" applyNumberFormat="1" applyFont="1" applyFill="1" applyProtection="1"/>
    <xf numFmtId="0" fontId="0" fillId="12" borderId="1" xfId="0" applyFill="1" applyBorder="1" applyProtection="1"/>
    <xf numFmtId="1" fontId="0" fillId="11" borderId="1" xfId="0" applyNumberFormat="1" applyFill="1" applyBorder="1" applyAlignment="1" applyProtection="1">
      <alignment horizontal="right"/>
    </xf>
    <xf numFmtId="0" fontId="0" fillId="0" borderId="19" xfId="0" applyBorder="1" applyAlignment="1">
      <alignment horizontal="right"/>
    </xf>
    <xf numFmtId="0" fontId="0" fillId="12" borderId="1" xfId="0" applyFill="1" applyBorder="1" applyAlignment="1" applyProtection="1">
      <alignment horizontal="center"/>
    </xf>
    <xf numFmtId="164" fontId="8" fillId="12" borderId="1" xfId="0" applyNumberFormat="1" applyFont="1" applyFill="1" applyBorder="1" applyProtection="1"/>
    <xf numFmtId="0" fontId="6" fillId="12" borderId="1" xfId="0" applyFont="1" applyFill="1" applyBorder="1" applyProtection="1"/>
    <xf numFmtId="1" fontId="0" fillId="12" borderId="1" xfId="0" applyNumberFormat="1" applyFill="1" applyBorder="1" applyProtection="1"/>
    <xf numFmtId="164" fontId="0" fillId="12" borderId="1" xfId="0" applyNumberFormat="1" applyFill="1" applyBorder="1" applyProtection="1"/>
    <xf numFmtId="0" fontId="0" fillId="13" borderId="0" xfId="0" applyFont="1" applyFill="1" applyProtection="1"/>
    <xf numFmtId="0" fontId="0" fillId="11" borderId="0" xfId="0" applyFont="1" applyFill="1" applyProtection="1"/>
    <xf numFmtId="0" fontId="14" fillId="11" borderId="1" xfId="0" applyFont="1" applyFill="1" applyBorder="1" applyAlignment="1" applyProtection="1">
      <alignment horizontal="center"/>
    </xf>
    <xf numFmtId="0" fontId="7" fillId="12" borderId="1" xfId="0" applyFont="1" applyFill="1" applyBorder="1" applyAlignment="1" applyProtection="1">
      <alignment horizontal="right"/>
    </xf>
    <xf numFmtId="0" fontId="0" fillId="9" borderId="1" xfId="0" applyFont="1" applyFill="1" applyBorder="1" applyAlignment="1" applyProtection="1">
      <alignment horizontal="right"/>
    </xf>
    <xf numFmtId="0" fontId="0" fillId="12" borderId="1" xfId="0" applyFont="1" applyFill="1" applyBorder="1" applyAlignment="1" applyProtection="1">
      <alignment horizontal="right"/>
    </xf>
    <xf numFmtId="0" fontId="7" fillId="11" borderId="0" xfId="0" applyFont="1" applyFill="1" applyProtection="1"/>
    <xf numFmtId="164" fontId="0" fillId="9" borderId="1" xfId="0" applyNumberFormat="1" applyFont="1" applyFill="1" applyBorder="1" applyAlignment="1" applyProtection="1">
      <alignment horizontal="right"/>
    </xf>
    <xf numFmtId="164" fontId="0" fillId="12" borderId="1" xfId="0" applyNumberFormat="1" applyFont="1" applyFill="1" applyBorder="1" applyAlignment="1" applyProtection="1">
      <alignment horizontal="right"/>
    </xf>
    <xf numFmtId="0" fontId="8" fillId="11" borderId="0" xfId="0" applyFont="1" applyFill="1" applyProtection="1"/>
    <xf numFmtId="164" fontId="0" fillId="7" borderId="1" xfId="0" applyNumberFormat="1" applyFont="1" applyFill="1" applyBorder="1" applyAlignment="1" applyProtection="1">
      <alignment horizontal="right"/>
    </xf>
    <xf numFmtId="0" fontId="7" fillId="11" borderId="0" xfId="0" applyFont="1" applyFill="1" applyAlignment="1" applyProtection="1">
      <alignment horizontal="right"/>
    </xf>
    <xf numFmtId="164" fontId="0" fillId="12" borderId="0" xfId="0" applyNumberFormat="1" applyFont="1" applyFill="1" applyProtection="1"/>
    <xf numFmtId="2" fontId="0" fillId="7" borderId="1" xfId="0" applyNumberFormat="1" applyFont="1" applyFill="1" applyBorder="1" applyAlignment="1" applyProtection="1">
      <alignment horizontal="right"/>
    </xf>
    <xf numFmtId="164" fontId="0" fillId="10" borderId="1" xfId="0" applyNumberFormat="1" applyFont="1" applyFill="1" applyBorder="1" applyAlignment="1" applyProtection="1">
      <alignment horizontal="right"/>
    </xf>
    <xf numFmtId="164" fontId="8" fillId="7" borderId="1" xfId="0" applyNumberFormat="1" applyFont="1" applyFill="1" applyBorder="1" applyAlignment="1" applyProtection="1">
      <alignment horizontal="right"/>
    </xf>
    <xf numFmtId="164" fontId="8" fillId="12" borderId="1" xfId="0" applyNumberFormat="1" applyFont="1" applyFill="1" applyBorder="1" applyAlignment="1" applyProtection="1">
      <alignment horizontal="right"/>
    </xf>
    <xf numFmtId="166" fontId="0" fillId="12" borderId="1" xfId="0" applyNumberFormat="1" applyFont="1" applyFill="1" applyBorder="1" applyProtection="1"/>
    <xf numFmtId="0" fontId="7" fillId="11" borderId="1" xfId="0" applyFont="1" applyFill="1" applyBorder="1" applyAlignment="1" applyProtection="1">
      <alignment horizontal="left"/>
    </xf>
    <xf numFmtId="164" fontId="6" fillId="7" borderId="1" xfId="0" applyNumberFormat="1" applyFont="1" applyFill="1" applyBorder="1" applyAlignment="1" applyProtection="1">
      <alignment horizontal="right"/>
    </xf>
    <xf numFmtId="164" fontId="6" fillId="12" borderId="1" xfId="0" applyNumberFormat="1" applyFont="1" applyFill="1" applyBorder="1" applyAlignment="1" applyProtection="1">
      <alignment horizontal="right"/>
    </xf>
    <xf numFmtId="0" fontId="8" fillId="11" borderId="0" xfId="0" applyFont="1" applyFill="1" applyBorder="1" applyProtection="1"/>
    <xf numFmtId="0" fontId="8" fillId="11" borderId="0" xfId="0" applyFont="1" applyFill="1" applyBorder="1" applyAlignment="1" applyProtection="1">
      <alignment horizontal="right"/>
    </xf>
    <xf numFmtId="0" fontId="0" fillId="11" borderId="0" xfId="0" applyFont="1" applyFill="1" applyAlignment="1" applyProtection="1">
      <alignment horizontal="right"/>
    </xf>
    <xf numFmtId="164" fontId="8" fillId="15" borderId="1" xfId="0" applyNumberFormat="1" applyFont="1" applyFill="1" applyBorder="1" applyAlignment="1" applyProtection="1">
      <alignment horizontal="right"/>
    </xf>
    <xf numFmtId="166" fontId="8" fillId="12" borderId="0" xfId="0" applyNumberFormat="1" applyFont="1" applyFill="1" applyProtection="1"/>
    <xf numFmtId="0" fontId="0" fillId="11" borderId="0" xfId="0" applyFont="1" applyFill="1" applyAlignment="1" applyProtection="1">
      <alignment horizontal="left"/>
    </xf>
    <xf numFmtId="10" fontId="8" fillId="12" borderId="0" xfId="0" applyNumberFormat="1" applyFont="1" applyFill="1" applyProtection="1"/>
    <xf numFmtId="0" fontId="7" fillId="11" borderId="0" xfId="0" applyFont="1" applyFill="1" applyAlignment="1" applyProtection="1">
      <alignment horizontal="left"/>
    </xf>
    <xf numFmtId="164" fontId="0" fillId="15" borderId="1" xfId="0" applyNumberFormat="1" applyFont="1" applyFill="1" applyBorder="1" applyAlignment="1" applyProtection="1">
      <alignment horizontal="right"/>
    </xf>
    <xf numFmtId="164" fontId="8" fillId="15" borderId="23" xfId="0" applyNumberFormat="1" applyFont="1" applyFill="1" applyBorder="1" applyAlignment="1" applyProtection="1">
      <alignment horizontal="right"/>
    </xf>
    <xf numFmtId="164" fontId="8" fillId="12" borderId="24" xfId="0" applyNumberFormat="1" applyFont="1" applyFill="1" applyBorder="1" applyAlignment="1" applyProtection="1">
      <alignment horizontal="right"/>
    </xf>
    <xf numFmtId="0" fontId="7" fillId="4" borderId="0" xfId="0" applyFont="1" applyFill="1" applyProtection="1"/>
    <xf numFmtId="0" fontId="0" fillId="4" borderId="0" xfId="0" applyFont="1" applyFill="1" applyProtection="1"/>
    <xf numFmtId="0" fontId="7" fillId="12" borderId="1" xfId="0" applyFont="1" applyFill="1" applyBorder="1" applyProtection="1"/>
    <xf numFmtId="0" fontId="0" fillId="4" borderId="1" xfId="0" applyFont="1" applyFill="1" applyBorder="1" applyProtection="1">
      <protection locked="0"/>
    </xf>
    <xf numFmtId="164" fontId="0" fillId="4" borderId="1" xfId="0" applyNumberFormat="1" applyFont="1" applyFill="1" applyBorder="1" applyProtection="1">
      <protection locked="0"/>
    </xf>
    <xf numFmtId="1" fontId="0" fillId="4" borderId="1" xfId="0" applyNumberFormat="1" applyFont="1" applyFill="1" applyBorder="1" applyProtection="1">
      <protection locked="0"/>
    </xf>
    <xf numFmtId="165" fontId="0" fillId="4" borderId="1" xfId="0" applyNumberFormat="1" applyFont="1" applyFill="1" applyBorder="1" applyProtection="1">
      <protection locked="0"/>
    </xf>
    <xf numFmtId="10" fontId="0" fillId="4" borderId="1" xfId="0" applyNumberFormat="1" applyFont="1" applyFill="1" applyBorder="1" applyProtection="1">
      <protection locked="0"/>
    </xf>
    <xf numFmtId="0" fontId="0" fillId="14" borderId="0" xfId="0" applyFont="1" applyFill="1" applyProtection="1"/>
    <xf numFmtId="0" fontId="6" fillId="7" borderId="1" xfId="0" applyFont="1" applyFill="1" applyBorder="1" applyAlignment="1" applyProtection="1">
      <alignment horizontal="right"/>
    </xf>
    <xf numFmtId="0" fontId="6" fillId="12" borderId="1" xfId="0" applyFont="1" applyFill="1" applyBorder="1" applyAlignment="1" applyProtection="1">
      <alignment horizontal="right"/>
    </xf>
    <xf numFmtId="0" fontId="13" fillId="11" borderId="0" xfId="0" applyFont="1" applyFill="1" applyProtection="1"/>
    <xf numFmtId="0" fontId="0" fillId="14" borderId="0" xfId="0" applyFont="1" applyFill="1" applyAlignment="1" applyProtection="1">
      <alignment horizontal="right"/>
    </xf>
    <xf numFmtId="164" fontId="0" fillId="11" borderId="0" xfId="0" applyNumberFormat="1" applyFont="1" applyFill="1" applyProtection="1"/>
    <xf numFmtId="2" fontId="6" fillId="7" borderId="1" xfId="0" applyNumberFormat="1" applyFont="1" applyFill="1" applyBorder="1" applyAlignment="1" applyProtection="1">
      <alignment horizontal="right"/>
    </xf>
    <xf numFmtId="0" fontId="15" fillId="14" borderId="0" xfId="0" applyFont="1" applyFill="1" applyAlignment="1" applyProtection="1">
      <alignment horizontal="right"/>
    </xf>
    <xf numFmtId="0" fontId="13" fillId="14" borderId="0" xfId="0" applyFont="1" applyFill="1" applyProtection="1"/>
    <xf numFmtId="0" fontId="12" fillId="14" borderId="0" xfId="0" applyFont="1" applyFill="1" applyProtection="1"/>
    <xf numFmtId="1" fontId="0" fillId="11" borderId="0" xfId="0" applyNumberFormat="1" applyFont="1" applyFill="1" applyBorder="1" applyProtection="1"/>
    <xf numFmtId="0" fontId="7" fillId="11" borderId="0" xfId="0" applyFont="1" applyFill="1" applyBorder="1" applyAlignment="1" applyProtection="1">
      <alignment horizontal="left"/>
    </xf>
    <xf numFmtId="0" fontId="7" fillId="14" borderId="0" xfId="0" applyFont="1" applyFill="1" applyAlignment="1" applyProtection="1">
      <alignment horizontal="right"/>
    </xf>
    <xf numFmtId="0" fontId="0" fillId="14" borderId="0" xfId="0" applyFont="1" applyFill="1" applyBorder="1" applyAlignment="1" applyProtection="1">
      <alignment horizontal="right"/>
    </xf>
    <xf numFmtId="164" fontId="0" fillId="14" borderId="0" xfId="0" applyNumberFormat="1" applyFont="1" applyFill="1" applyProtection="1"/>
    <xf numFmtId="0" fontId="8" fillId="14" borderId="0" xfId="0" applyFont="1" applyFill="1" applyProtection="1"/>
    <xf numFmtId="0" fontId="8" fillId="14" borderId="0" xfId="0" applyFont="1" applyFill="1" applyAlignment="1" applyProtection="1">
      <alignment horizontal="right"/>
    </xf>
    <xf numFmtId="0" fontId="0" fillId="14" borderId="0" xfId="0" applyFont="1" applyFill="1" applyAlignment="1" applyProtection="1">
      <alignment horizontal="left"/>
    </xf>
    <xf numFmtId="1" fontId="8" fillId="11" borderId="0" xfId="0" applyNumberFormat="1" applyFont="1" applyFill="1" applyProtection="1"/>
    <xf numFmtId="0" fontId="7" fillId="14" borderId="0" xfId="0" applyFont="1" applyFill="1" applyProtection="1"/>
    <xf numFmtId="0" fontId="8" fillId="11" borderId="0" xfId="0" applyFont="1" applyFill="1" applyAlignment="1" applyProtection="1">
      <alignment horizontal="right"/>
    </xf>
    <xf numFmtId="0" fontId="13" fillId="11" borderId="0" xfId="0" applyFont="1" applyFill="1" applyBorder="1" applyProtection="1"/>
    <xf numFmtId="0" fontId="0" fillId="11" borderId="0" xfId="0" applyFont="1" applyFill="1" applyBorder="1" applyProtection="1"/>
    <xf numFmtId="0" fontId="0" fillId="4" borderId="0" xfId="0" applyFill="1" applyProtection="1"/>
    <xf numFmtId="0" fontId="8" fillId="4" borderId="0" xfId="0" applyFont="1" applyFill="1" applyProtection="1"/>
    <xf numFmtId="0" fontId="8" fillId="12" borderId="1" xfId="0" applyFont="1" applyFill="1" applyBorder="1" applyAlignment="1" applyProtection="1">
      <alignment horizontal="right"/>
    </xf>
    <xf numFmtId="164" fontId="0" fillId="0" borderId="0" xfId="0" applyNumberForma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10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0" fontId="8" fillId="11" borderId="0" xfId="0" applyNumberFormat="1" applyFont="1" applyFill="1" applyProtection="1"/>
    <xf numFmtId="164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165" fontId="0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Border="1" applyProtection="1"/>
    <xf numFmtId="0" fontId="7" fillId="0" borderId="0" xfId="0" applyFont="1" applyFill="1" applyBorder="1" applyProtection="1"/>
    <xf numFmtId="0" fontId="6" fillId="11" borderId="0" xfId="0" applyFont="1" applyFill="1" applyProtection="1"/>
    <xf numFmtId="0" fontId="3" fillId="0" borderId="0" xfId="0" applyFont="1" applyBorder="1" applyAlignment="1">
      <alignment horizontal="right" vertical="center" wrapText="1"/>
    </xf>
    <xf numFmtId="166" fontId="0" fillId="0" borderId="0" xfId="0" applyNumberFormat="1"/>
    <xf numFmtId="0" fontId="0" fillId="16" borderId="0" xfId="0" applyFill="1"/>
    <xf numFmtId="1" fontId="0" fillId="3" borderId="0" xfId="0" applyNumberFormat="1" applyFill="1"/>
    <xf numFmtId="164" fontId="0" fillId="3" borderId="0" xfId="0" applyNumberFormat="1" applyFill="1"/>
    <xf numFmtId="164" fontId="0" fillId="3" borderId="0" xfId="0" applyNumberFormat="1" applyFont="1" applyFill="1"/>
    <xf numFmtId="164" fontId="6" fillId="3" borderId="0" xfId="0" applyNumberFormat="1" applyFont="1" applyFill="1"/>
    <xf numFmtId="0" fontId="0" fillId="3" borderId="0" xfId="0" applyFill="1" applyAlignment="1">
      <alignment horizontal="right"/>
    </xf>
    <xf numFmtId="0" fontId="0" fillId="17" borderId="0" xfId="0" applyFill="1"/>
    <xf numFmtId="0" fontId="0" fillId="17" borderId="0" xfId="0" applyFill="1" applyAlignment="1">
      <alignment horizontal="right"/>
    </xf>
    <xf numFmtId="164" fontId="0" fillId="17" borderId="0" xfId="0" applyNumberFormat="1" applyFill="1"/>
    <xf numFmtId="164" fontId="0" fillId="17" borderId="0" xfId="0" applyNumberFormat="1" applyFont="1" applyFill="1"/>
    <xf numFmtId="164" fontId="6" fillId="17" borderId="0" xfId="0" applyNumberFormat="1" applyFont="1" applyFill="1"/>
    <xf numFmtId="0" fontId="0" fillId="17" borderId="0" xfId="0" applyFill="1" applyBorder="1" applyAlignment="1">
      <alignment horizontal="right"/>
    </xf>
    <xf numFmtId="2" fontId="0" fillId="17" borderId="0" xfId="0" applyNumberFormat="1" applyFill="1"/>
    <xf numFmtId="0" fontId="0" fillId="11" borderId="1" xfId="0" applyFill="1" applyBorder="1" applyProtection="1">
      <protection locked="0"/>
    </xf>
    <xf numFmtId="0" fontId="0" fillId="11" borderId="19" xfId="0" applyFill="1" applyBorder="1" applyProtection="1"/>
    <xf numFmtId="0" fontId="0" fillId="11" borderId="33" xfId="0" applyFill="1" applyBorder="1" applyProtection="1"/>
    <xf numFmtId="0" fontId="0" fillId="11" borderId="34" xfId="0" applyFill="1" applyBorder="1" applyProtection="1"/>
    <xf numFmtId="0" fontId="6" fillId="11" borderId="19" xfId="0" applyFont="1" applyFill="1" applyBorder="1" applyProtection="1"/>
    <xf numFmtId="167" fontId="0" fillId="12" borderId="34" xfId="1" applyNumberFormat="1" applyFont="1" applyFill="1" applyBorder="1" applyProtection="1"/>
    <xf numFmtId="0" fontId="6" fillId="11" borderId="33" xfId="0" applyFont="1" applyFill="1" applyBorder="1" applyProtection="1"/>
    <xf numFmtId="0" fontId="6" fillId="11" borderId="34" xfId="0" applyFont="1" applyFill="1" applyBorder="1" applyProtection="1"/>
    <xf numFmtId="1" fontId="0" fillId="0" borderId="1" xfId="0" applyNumberFormat="1" applyBorder="1" applyAlignment="1">
      <alignment horizontal="right"/>
    </xf>
    <xf numFmtId="2" fontId="0" fillId="3" borderId="0" xfId="0" applyNumberFormat="1" applyFill="1"/>
    <xf numFmtId="0" fontId="0" fillId="4" borderId="1" xfId="0" applyNumberFormat="1" applyFill="1" applyBorder="1" applyProtection="1">
      <protection locked="0"/>
    </xf>
    <xf numFmtId="1" fontId="0" fillId="8" borderId="0" xfId="0" applyNumberFormat="1" applyFill="1"/>
    <xf numFmtId="2" fontId="0" fillId="7" borderId="1" xfId="0" applyNumberFormat="1" applyFill="1" applyBorder="1" applyProtection="1"/>
    <xf numFmtId="2" fontId="7" fillId="7" borderId="1" xfId="0" applyNumberFormat="1" applyFont="1" applyFill="1" applyBorder="1" applyProtection="1"/>
    <xf numFmtId="164" fontId="0" fillId="0" borderId="1" xfId="0" applyNumberFormat="1" applyFont="1" applyFill="1" applyBorder="1" applyAlignment="1" applyProtection="1">
      <alignment horizontal="right"/>
    </xf>
    <xf numFmtId="0" fontId="6" fillId="11" borderId="19" xfId="0" applyFont="1" applyFill="1" applyBorder="1" applyProtection="1"/>
    <xf numFmtId="0" fontId="6" fillId="11" borderId="1" xfId="0" applyFont="1" applyFill="1" applyBorder="1" applyProtection="1"/>
    <xf numFmtId="0" fontId="0" fillId="18" borderId="1" xfId="0" applyFill="1" applyBorder="1"/>
    <xf numFmtId="164" fontId="0" fillId="18" borderId="1" xfId="0" applyNumberFormat="1" applyFill="1" applyBorder="1"/>
    <xf numFmtId="164" fontId="0" fillId="18" borderId="19" xfId="0" applyNumberFormat="1" applyFill="1" applyBorder="1"/>
    <xf numFmtId="1" fontId="0" fillId="4" borderId="1" xfId="0" applyNumberFormat="1" applyFill="1" applyBorder="1" applyProtection="1"/>
    <xf numFmtId="1" fontId="6" fillId="4" borderId="1" xfId="0" applyNumberFormat="1" applyFont="1" applyFill="1" applyBorder="1" applyProtection="1"/>
    <xf numFmtId="14" fontId="0" fillId="12" borderId="1" xfId="0" applyNumberFormat="1" applyFill="1" applyBorder="1" applyAlignment="1" applyProtection="1">
      <alignment horizontal="center"/>
    </xf>
    <xf numFmtId="167" fontId="0" fillId="12" borderId="1" xfId="1" applyNumberFormat="1" applyFont="1" applyFill="1" applyBorder="1" applyAlignment="1" applyProtection="1">
      <alignment vertical="center"/>
    </xf>
    <xf numFmtId="0" fontId="3" fillId="0" borderId="3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10" fontId="17" fillId="0" borderId="36" xfId="0" applyNumberFormat="1" applyFont="1" applyBorder="1" applyAlignment="1">
      <alignment horizontal="right" vertical="center" wrapText="1"/>
    </xf>
    <xf numFmtId="10" fontId="1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" fontId="2" fillId="4" borderId="0" xfId="0" applyNumberFormat="1" applyFont="1" applyFill="1"/>
    <xf numFmtId="0" fontId="2" fillId="4" borderId="0" xfId="0" applyFont="1" applyFill="1" applyBorder="1" applyAlignment="1">
      <alignment horizontal="center"/>
    </xf>
    <xf numFmtId="16" fontId="2" fillId="4" borderId="0" xfId="0" applyNumberFormat="1" applyFont="1" applyFill="1"/>
    <xf numFmtId="0" fontId="2" fillId="4" borderId="0" xfId="0" applyFont="1" applyFill="1" applyAlignment="1">
      <alignment horizontal="left"/>
    </xf>
    <xf numFmtId="1" fontId="7" fillId="12" borderId="1" xfId="0" applyNumberFormat="1" applyFont="1" applyFill="1" applyBorder="1" applyAlignment="1" applyProtection="1">
      <alignment horizontal="center"/>
    </xf>
    <xf numFmtId="0" fontId="7" fillId="12" borderId="1" xfId="0" applyFont="1" applyFill="1" applyBorder="1" applyAlignment="1" applyProtection="1">
      <alignment horizontal="center"/>
    </xf>
    <xf numFmtId="14" fontId="0" fillId="12" borderId="34" xfId="0" applyNumberFormat="1" applyFill="1" applyBorder="1" applyAlignment="1" applyProtection="1">
      <alignment horizontal="center"/>
    </xf>
    <xf numFmtId="0" fontId="0" fillId="11" borderId="37" xfId="0" applyFill="1" applyBorder="1" applyProtection="1"/>
    <xf numFmtId="1" fontId="0" fillId="7" borderId="37" xfId="0" applyNumberFormat="1" applyFill="1" applyBorder="1" applyProtection="1"/>
    <xf numFmtId="1" fontId="5" fillId="7" borderId="37" xfId="0" applyNumberFormat="1" applyFont="1" applyFill="1" applyBorder="1" applyProtection="1"/>
    <xf numFmtId="0" fontId="6" fillId="12" borderId="37" xfId="0" applyFont="1" applyFill="1" applyBorder="1" applyProtection="1"/>
    <xf numFmtId="0" fontId="6" fillId="11" borderId="38" xfId="0" applyFont="1" applyFill="1" applyBorder="1" applyProtection="1"/>
    <xf numFmtId="1" fontId="6" fillId="12" borderId="23" xfId="0" applyNumberFormat="1" applyFont="1" applyFill="1" applyBorder="1" applyProtection="1"/>
    <xf numFmtId="1" fontId="8" fillId="12" borderId="23" xfId="0" applyNumberFormat="1" applyFont="1" applyFill="1" applyBorder="1" applyProtection="1"/>
    <xf numFmtId="0" fontId="6" fillId="12" borderId="24" xfId="0" applyFont="1" applyFill="1" applyBorder="1" applyProtection="1"/>
    <xf numFmtId="0" fontId="0" fillId="11" borderId="20" xfId="0" applyFill="1" applyBorder="1" applyProtection="1"/>
    <xf numFmtId="1" fontId="0" fillId="7" borderId="20" xfId="0" applyNumberFormat="1" applyFill="1" applyBorder="1" applyProtection="1"/>
    <xf numFmtId="0" fontId="6" fillId="12" borderId="20" xfId="0" applyFont="1" applyFill="1" applyBorder="1" applyProtection="1"/>
    <xf numFmtId="0" fontId="0" fillId="11" borderId="38" xfId="0" applyFill="1" applyBorder="1" applyProtection="1"/>
    <xf numFmtId="1" fontId="0" fillId="11" borderId="23" xfId="0" applyNumberFormat="1" applyFill="1" applyBorder="1" applyProtection="1"/>
    <xf numFmtId="1" fontId="0" fillId="11" borderId="23" xfId="0" applyNumberFormat="1" applyFill="1" applyBorder="1" applyAlignment="1" applyProtection="1">
      <alignment horizontal="right"/>
    </xf>
    <xf numFmtId="0" fontId="0" fillId="12" borderId="24" xfId="0" applyFill="1" applyBorder="1" applyAlignment="1" applyProtection="1">
      <alignment horizontal="right"/>
    </xf>
    <xf numFmtId="0" fontId="0" fillId="7" borderId="20" xfId="0" applyFill="1" applyBorder="1" applyProtection="1"/>
    <xf numFmtId="1" fontId="6" fillId="12" borderId="20" xfId="0" applyNumberFormat="1" applyFont="1" applyFill="1" applyBorder="1" applyProtection="1"/>
    <xf numFmtId="0" fontId="0" fillId="11" borderId="23" xfId="0" applyFill="1" applyBorder="1" applyAlignment="1" applyProtection="1">
      <alignment horizontal="right"/>
    </xf>
    <xf numFmtId="164" fontId="6" fillId="11" borderId="38" xfId="0" applyNumberFormat="1" applyFont="1" applyFill="1" applyBorder="1" applyProtection="1"/>
    <xf numFmtId="0" fontId="6" fillId="12" borderId="23" xfId="0" applyFont="1" applyFill="1" applyBorder="1" applyProtection="1"/>
    <xf numFmtId="9" fontId="6" fillId="12" borderId="23" xfId="0" applyNumberFormat="1" applyFont="1" applyFill="1" applyBorder="1" applyProtection="1"/>
    <xf numFmtId="9" fontId="6" fillId="12" borderId="24" xfId="0" applyNumberFormat="1" applyFont="1" applyFill="1" applyBorder="1" applyProtection="1"/>
    <xf numFmtId="0" fontId="2" fillId="12" borderId="23" xfId="0" applyFont="1" applyFill="1" applyBorder="1" applyProtection="1"/>
    <xf numFmtId="164" fontId="5" fillId="14" borderId="28" xfId="0" applyNumberFormat="1" applyFont="1" applyFill="1" applyBorder="1" applyAlignment="1" applyProtection="1">
      <alignment horizontal="left"/>
    </xf>
    <xf numFmtId="164" fontId="0" fillId="7" borderId="20" xfId="0" applyNumberFormat="1" applyFill="1" applyBorder="1" applyProtection="1"/>
    <xf numFmtId="164" fontId="0" fillId="12" borderId="20" xfId="0" applyNumberFormat="1" applyFill="1" applyBorder="1" applyProtection="1"/>
    <xf numFmtId="0" fontId="0" fillId="12" borderId="24" xfId="0" applyFill="1" applyBorder="1" applyProtection="1"/>
    <xf numFmtId="2" fontId="0" fillId="7" borderId="20" xfId="0" applyNumberFormat="1" applyFill="1" applyBorder="1" applyProtection="1"/>
    <xf numFmtId="1" fontId="0" fillId="12" borderId="20" xfId="0" applyNumberFormat="1" applyFill="1" applyBorder="1" applyProtection="1"/>
    <xf numFmtId="0" fontId="0" fillId="12" borderId="23" xfId="0" applyFill="1" applyBorder="1" applyProtection="1"/>
    <xf numFmtId="164" fontId="6" fillId="12" borderId="23" xfId="0" applyNumberFormat="1" applyFont="1" applyFill="1" applyBorder="1" applyProtection="1"/>
    <xf numFmtId="164" fontId="6" fillId="12" borderId="24" xfId="0" applyNumberFormat="1" applyFont="1" applyFill="1" applyBorder="1" applyProtection="1"/>
    <xf numFmtId="0" fontId="7" fillId="11" borderId="19" xfId="0" applyFont="1" applyFill="1" applyBorder="1" applyProtection="1"/>
    <xf numFmtId="0" fontId="7" fillId="11" borderId="33" xfId="0" applyFont="1" applyFill="1" applyBorder="1" applyProtection="1"/>
    <xf numFmtId="0" fontId="7" fillId="11" borderId="34" xfId="0" applyFont="1" applyFill="1" applyBorder="1" applyProtection="1"/>
    <xf numFmtId="8" fontId="0" fillId="4" borderId="1" xfId="0" applyNumberFormat="1" applyFont="1" applyFill="1" applyBorder="1" applyProtection="1">
      <protection locked="0"/>
    </xf>
    <xf numFmtId="164" fontId="0" fillId="12" borderId="0" xfId="0" applyNumberFormat="1" applyFill="1" applyProtection="1"/>
    <xf numFmtId="164" fontId="6" fillId="11" borderId="25" xfId="0" applyNumberFormat="1" applyFont="1" applyFill="1" applyBorder="1" applyProtection="1"/>
    <xf numFmtId="164" fontId="0" fillId="9" borderId="0" xfId="0" applyNumberFormat="1" applyFont="1" applyFill="1" applyProtection="1"/>
    <xf numFmtId="0" fontId="0" fillId="9" borderId="0" xfId="0" applyFont="1" applyFill="1" applyProtection="1"/>
    <xf numFmtId="0" fontId="6" fillId="11" borderId="23" xfId="0" applyFont="1" applyFill="1" applyBorder="1" applyAlignment="1" applyProtection="1">
      <alignment horizontal="right"/>
    </xf>
    <xf numFmtId="0" fontId="6" fillId="12" borderId="24" xfId="0" applyFont="1" applyFill="1" applyBorder="1" applyAlignment="1" applyProtection="1">
      <alignment horizontal="right"/>
    </xf>
    <xf numFmtId="1" fontId="0" fillId="3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0" fontId="17" fillId="0" borderId="0" xfId="0" applyNumberFormat="1" applyFont="1" applyAlignment="1">
      <alignment horizontal="right" vertical="center" wrapText="1"/>
    </xf>
    <xf numFmtId="0" fontId="4" fillId="5" borderId="0" xfId="0" applyFont="1" applyFill="1" applyAlignment="1">
      <alignment horizontal="center" vertical="center" wrapText="1"/>
    </xf>
    <xf numFmtId="0" fontId="20" fillId="0" borderId="0" xfId="2"/>
    <xf numFmtId="0" fontId="2" fillId="12" borderId="40" xfId="0" applyFont="1" applyFill="1" applyBorder="1" applyProtection="1"/>
    <xf numFmtId="0" fontId="0" fillId="14" borderId="14" xfId="0" applyFill="1" applyBorder="1" applyProtection="1"/>
    <xf numFmtId="0" fontId="0" fillId="14" borderId="15" xfId="0" applyFill="1" applyBorder="1" applyProtection="1"/>
    <xf numFmtId="0" fontId="6" fillId="11" borderId="39" xfId="0" applyFont="1" applyFill="1" applyBorder="1" applyProtection="1"/>
    <xf numFmtId="0" fontId="0" fillId="14" borderId="9" xfId="0" applyFill="1" applyBorder="1" applyProtection="1"/>
    <xf numFmtId="1" fontId="6" fillId="12" borderId="38" xfId="0" applyNumberFormat="1" applyFont="1" applyFill="1" applyBorder="1" applyAlignment="1" applyProtection="1">
      <alignment horizontal="center"/>
    </xf>
    <xf numFmtId="1" fontId="6" fillId="12" borderId="24" xfId="0" applyNumberFormat="1" applyFont="1" applyFill="1" applyBorder="1" applyAlignment="1" applyProtection="1">
      <alignment horizontal="center"/>
    </xf>
    <xf numFmtId="1" fontId="6" fillId="12" borderId="39" xfId="0" applyNumberFormat="1" applyFont="1" applyFill="1" applyBorder="1" applyAlignment="1" applyProtection="1">
      <alignment horizontal="center"/>
    </xf>
    <xf numFmtId="0" fontId="0" fillId="14" borderId="14" xfId="0" applyFill="1" applyBorder="1" applyAlignment="1" applyProtection="1">
      <alignment horizontal="center"/>
    </xf>
    <xf numFmtId="0" fontId="0" fillId="14" borderId="15" xfId="0" applyFill="1" applyBorder="1" applyAlignment="1" applyProtection="1">
      <alignment horizontal="center"/>
    </xf>
    <xf numFmtId="0" fontId="0" fillId="14" borderId="9" xfId="0" applyFill="1" applyBorder="1" applyAlignment="1" applyProtection="1">
      <alignment horizontal="center"/>
    </xf>
    <xf numFmtId="164" fontId="6" fillId="12" borderId="38" xfId="0" applyNumberFormat="1" applyFont="1" applyFill="1" applyBorder="1" applyAlignment="1" applyProtection="1">
      <alignment horizontal="center"/>
    </xf>
    <xf numFmtId="164" fontId="6" fillId="12" borderId="24" xfId="0" applyNumberFormat="1" applyFont="1" applyFill="1" applyBorder="1" applyAlignment="1" applyProtection="1">
      <alignment horizontal="center"/>
    </xf>
    <xf numFmtId="164" fontId="6" fillId="12" borderId="39" xfId="0" applyNumberFormat="1" applyFont="1" applyFill="1" applyBorder="1" applyAlignment="1" applyProtection="1">
      <alignment horizontal="center"/>
    </xf>
    <xf numFmtId="9" fontId="6" fillId="12" borderId="38" xfId="0" applyNumberFormat="1" applyFont="1" applyFill="1" applyBorder="1" applyAlignment="1" applyProtection="1">
      <alignment horizontal="center"/>
    </xf>
    <xf numFmtId="9" fontId="6" fillId="12" borderId="24" xfId="0" applyNumberFormat="1" applyFont="1" applyFill="1" applyBorder="1" applyAlignment="1" applyProtection="1">
      <alignment horizontal="center"/>
    </xf>
    <xf numFmtId="9" fontId="6" fillId="12" borderId="39" xfId="0" applyNumberFormat="1" applyFont="1" applyFill="1" applyBorder="1" applyAlignment="1" applyProtection="1">
      <alignment horizontal="center"/>
    </xf>
    <xf numFmtId="164" fontId="8" fillId="12" borderId="40" xfId="0" applyNumberFormat="1" applyFont="1" applyFill="1" applyBorder="1" applyAlignment="1" applyProtection="1">
      <alignment horizontal="center"/>
    </xf>
    <xf numFmtId="0" fontId="6" fillId="11" borderId="40" xfId="0" applyFont="1" applyFill="1" applyBorder="1" applyAlignment="1" applyProtection="1">
      <alignment horizontal="center"/>
    </xf>
    <xf numFmtId="1" fontId="0" fillId="13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3" borderId="2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0" fillId="3" borderId="1" xfId="0" applyFill="1" applyBorder="1"/>
    <xf numFmtId="167" fontId="3" fillId="0" borderId="2" xfId="1" applyNumberFormat="1" applyFont="1" applyBorder="1" applyAlignment="1">
      <alignment horizontal="right" vertical="center" wrapText="1"/>
    </xf>
    <xf numFmtId="167" fontId="3" fillId="6" borderId="2" xfId="1" applyNumberFormat="1" applyFont="1" applyFill="1" applyBorder="1" applyAlignment="1">
      <alignment horizontal="right" vertical="center" wrapText="1"/>
    </xf>
    <xf numFmtId="167" fontId="0" fillId="2" borderId="0" xfId="1" applyNumberFormat="1" applyFont="1" applyFill="1" applyAlignment="1">
      <alignment horizontal="center"/>
    </xf>
    <xf numFmtId="9" fontId="0" fillId="0" borderId="0" xfId="3" applyFont="1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9" fontId="0" fillId="8" borderId="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9" fontId="0" fillId="0" borderId="1" xfId="0" applyNumberFormat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65" fontId="16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0" fontId="0" fillId="4" borderId="1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4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2" borderId="1" xfId="0" applyFill="1" applyBorder="1"/>
    <xf numFmtId="1" fontId="0" fillId="0" borderId="0" xfId="0" applyNumberFormat="1" applyAlignment="1">
      <alignment horizontal="center"/>
    </xf>
    <xf numFmtId="0" fontId="3" fillId="0" borderId="3" xfId="0" applyFont="1" applyBorder="1" applyAlignment="1">
      <alignment horizontal="right" vertical="center" wrapText="1"/>
    </xf>
    <xf numFmtId="164" fontId="0" fillId="0" borderId="4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3" fillId="0" borderId="3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168" fontId="0" fillId="0" borderId="0" xfId="0" applyNumberFormat="1"/>
    <xf numFmtId="0" fontId="20" fillId="9" borderId="0" xfId="2" applyFill="1" applyAlignment="1">
      <alignment horizontal="center" vertical="center" wrapText="1"/>
    </xf>
    <xf numFmtId="0" fontId="0" fillId="4" borderId="0" xfId="0" applyFill="1"/>
    <xf numFmtId="0" fontId="4" fillId="0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10" fontId="4" fillId="0" borderId="0" xfId="0" applyNumberFormat="1" applyFont="1" applyFill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9" borderId="0" xfId="0" applyNumberFormat="1" applyFill="1"/>
    <xf numFmtId="0" fontId="0" fillId="9" borderId="0" xfId="0" applyFill="1"/>
    <xf numFmtId="0" fontId="23" fillId="0" borderId="0" xfId="0" applyFont="1" applyFill="1" applyAlignment="1">
      <alignment horizontal="right" vertical="center" wrapText="1"/>
    </xf>
    <xf numFmtId="167" fontId="13" fillId="0" borderId="0" xfId="1" applyNumberFormat="1" applyFont="1" applyAlignment="1">
      <alignment horizontal="right"/>
    </xf>
    <xf numFmtId="16" fontId="5" fillId="4" borderId="0" xfId="0" applyNumberFormat="1" applyFont="1" applyFill="1"/>
    <xf numFmtId="167" fontId="5" fillId="0" borderId="0" xfId="1" applyNumberFormat="1" applyFont="1"/>
    <xf numFmtId="0" fontId="5" fillId="4" borderId="0" xfId="0" applyFont="1" applyFill="1"/>
    <xf numFmtId="2" fontId="23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/>
    </xf>
    <xf numFmtId="0" fontId="0" fillId="4" borderId="27" xfId="0" applyFill="1" applyBorder="1" applyAlignment="1" applyProtection="1">
      <alignment horizontal="center"/>
    </xf>
    <xf numFmtId="0" fontId="0" fillId="4" borderId="28" xfId="0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/>
    </xf>
    <xf numFmtId="0" fontId="6" fillId="11" borderId="1" xfId="0" applyFont="1" applyFill="1" applyBorder="1" applyAlignment="1" applyProtection="1">
      <alignment horizontal="center"/>
    </xf>
    <xf numFmtId="0" fontId="0" fillId="4" borderId="30" xfId="0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</xf>
    <xf numFmtId="0" fontId="0" fillId="4" borderId="32" xfId="0" applyFill="1" applyBorder="1" applyAlignment="1" applyProtection="1">
      <alignment horizontal="center"/>
    </xf>
    <xf numFmtId="0" fontId="0" fillId="11" borderId="19" xfId="0" applyFill="1" applyBorder="1" applyAlignment="1" applyProtection="1">
      <alignment horizontal="right"/>
    </xf>
    <xf numFmtId="0" fontId="0" fillId="11" borderId="33" xfId="0" applyFill="1" applyBorder="1" applyAlignment="1" applyProtection="1">
      <alignment horizontal="right"/>
    </xf>
    <xf numFmtId="0" fontId="6" fillId="11" borderId="25" xfId="0" applyFont="1" applyFill="1" applyBorder="1" applyAlignment="1" applyProtection="1">
      <alignment horizontal="center"/>
    </xf>
    <xf numFmtId="0" fontId="6" fillId="11" borderId="41" xfId="0" applyFont="1" applyFill="1" applyBorder="1" applyAlignment="1" applyProtection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20" fillId="9" borderId="0" xfId="2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7" fillId="11" borderId="19" xfId="0" applyFont="1" applyFill="1" applyBorder="1" applyProtection="1"/>
    <xf numFmtId="0" fontId="7" fillId="11" borderId="33" xfId="0" applyFont="1" applyFill="1" applyBorder="1" applyProtection="1"/>
    <xf numFmtId="0" fontId="7" fillId="11" borderId="34" xfId="0" applyFont="1" applyFill="1" applyBorder="1" applyProtection="1"/>
    <xf numFmtId="0" fontId="0" fillId="11" borderId="19" xfId="0" applyFont="1" applyFill="1" applyBorder="1" applyProtection="1"/>
    <xf numFmtId="0" fontId="0" fillId="11" borderId="33" xfId="0" applyFont="1" applyFill="1" applyBorder="1" applyProtection="1"/>
    <xf numFmtId="0" fontId="0" fillId="11" borderId="34" xfId="0" applyFont="1" applyFill="1" applyBorder="1" applyProtection="1"/>
    <xf numFmtId="0" fontId="8" fillId="11" borderId="25" xfId="0" applyFont="1" applyFill="1" applyBorder="1" applyProtection="1"/>
    <xf numFmtId="0" fontId="8" fillId="11" borderId="26" xfId="0" applyFont="1" applyFill="1" applyBorder="1" applyProtection="1"/>
    <xf numFmtId="0" fontId="8" fillId="11" borderId="35" xfId="0" applyFont="1" applyFill="1" applyBorder="1" applyProtection="1"/>
    <xf numFmtId="0" fontId="0" fillId="11" borderId="34" xfId="0" applyFill="1" applyBorder="1" applyAlignment="1" applyProtection="1">
      <alignment horizontal="right"/>
    </xf>
    <xf numFmtId="0" fontId="6" fillId="11" borderId="19" xfId="0" applyFont="1" applyFill="1" applyBorder="1" applyAlignment="1" applyProtection="1">
      <alignment horizontal="center"/>
    </xf>
    <xf numFmtId="0" fontId="6" fillId="11" borderId="33" xfId="0" applyFont="1" applyFill="1" applyBorder="1" applyAlignment="1" applyProtection="1">
      <alignment horizontal="center"/>
    </xf>
    <xf numFmtId="0" fontId="6" fillId="11" borderId="34" xfId="0" applyFont="1" applyFill="1" applyBorder="1" applyAlignment="1" applyProtection="1">
      <alignment horizontal="center"/>
    </xf>
    <xf numFmtId="0" fontId="5" fillId="14" borderId="28" xfId="0" applyFont="1" applyFill="1" applyBorder="1" applyAlignment="1" applyProtection="1">
      <alignment horizontal="center"/>
    </xf>
    <xf numFmtId="0" fontId="4" fillId="5" borderId="0" xfId="0" applyFont="1" applyFill="1" applyAlignment="1">
      <alignment horizontal="center" vertical="center" wrapText="1"/>
    </xf>
    <xf numFmtId="0" fontId="25" fillId="0" borderId="0" xfId="0" applyFo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648730</xdr:colOff>
      <xdr:row>32</xdr:row>
      <xdr:rowOff>1</xdr:rowOff>
    </xdr:from>
    <xdr:to>
      <xdr:col>33</xdr:col>
      <xdr:colOff>254996</xdr:colOff>
      <xdr:row>51</xdr:row>
      <xdr:rowOff>18618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85244" y="5807677"/>
          <a:ext cx="4960861" cy="3365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396240</xdr:colOff>
      <xdr:row>11</xdr:row>
      <xdr:rowOff>22860</xdr:rowOff>
    </xdr:from>
    <xdr:to>
      <xdr:col>35</xdr:col>
      <xdr:colOff>492530</xdr:colOff>
      <xdr:row>36</xdr:row>
      <xdr:rowOff>71813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30060" y="1981200"/>
          <a:ext cx="6801890" cy="4483793"/>
        </a:xfrm>
        <a:prstGeom prst="rect">
          <a:avLst/>
        </a:prstGeom>
      </xdr:spPr>
    </xdr:pic>
    <xdr:clientData/>
  </xdr:twoCellAnchor>
  <xdr:twoCellAnchor editAs="oneCell">
    <xdr:from>
      <xdr:col>9</xdr:col>
      <xdr:colOff>462915</xdr:colOff>
      <xdr:row>67</xdr:row>
      <xdr:rowOff>11430</xdr:rowOff>
    </xdr:from>
    <xdr:to>
      <xdr:col>25</xdr:col>
      <xdr:colOff>269063</xdr:colOff>
      <xdr:row>106</xdr:row>
      <xdr:rowOff>136262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9575" y="11845290"/>
          <a:ext cx="11373308" cy="6959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eefandlamb.ahdb.org.uk/markets/deadweight-price-reports/deadweight-sheep-price-reporting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eefandlamb.ahdb.org.uk/markets/deadweight-price-reports/deadweight-cattle-prices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I83"/>
  <sheetViews>
    <sheetView view="pageBreakPreview" topLeftCell="A22" zoomScale="74" zoomScaleNormal="50" zoomScaleSheetLayoutView="74" workbookViewId="0">
      <selection activeCell="N40" sqref="N40"/>
    </sheetView>
  </sheetViews>
  <sheetFormatPr defaultColWidth="9" defaultRowHeight="13.8" x14ac:dyDescent="0.25"/>
  <cols>
    <col min="1" max="1" width="5.5" style="62" customWidth="1"/>
    <col min="2" max="2" width="21.69921875" style="62" customWidth="1"/>
    <col min="3" max="3" width="12.5" style="62" customWidth="1"/>
    <col min="4" max="4" width="13.69921875" style="62" customWidth="1"/>
    <col min="5" max="5" width="14.8984375" style="62" customWidth="1"/>
    <col min="6" max="6" width="12.3984375" style="62" customWidth="1"/>
    <col min="7" max="7" width="6.09765625" style="62" customWidth="1"/>
    <col min="8" max="16384" width="9" style="62"/>
  </cols>
  <sheetData>
    <row r="1" spans="1:7" ht="14.25" x14ac:dyDescent="0.2">
      <c r="A1" s="93"/>
      <c r="B1" s="207" t="s">
        <v>148</v>
      </c>
      <c r="C1" s="205"/>
      <c r="D1" s="205"/>
      <c r="E1" s="205"/>
      <c r="F1" s="206"/>
      <c r="G1" s="93"/>
    </row>
    <row r="2" spans="1:7" ht="14.25" x14ac:dyDescent="0.2">
      <c r="A2" s="93"/>
      <c r="B2" s="93"/>
      <c r="C2" s="93"/>
      <c r="D2" s="93"/>
      <c r="E2" s="93"/>
      <c r="F2" s="93"/>
      <c r="G2" s="93"/>
    </row>
    <row r="3" spans="1:7" ht="14.25" x14ac:dyDescent="0.2">
      <c r="A3" s="93"/>
      <c r="B3" s="380" t="s">
        <v>146</v>
      </c>
      <c r="C3" s="381"/>
      <c r="D3" s="238">
        <f>'Lamb Data'!B2</f>
        <v>43176</v>
      </c>
      <c r="E3" s="204" t="s">
        <v>147</v>
      </c>
      <c r="F3" s="208">
        <f>'Lamb Data'!B4</f>
        <v>51109</v>
      </c>
      <c r="G3" s="93"/>
    </row>
    <row r="4" spans="1:7" ht="14.25" x14ac:dyDescent="0.2">
      <c r="A4" s="93"/>
      <c r="B4" s="93"/>
      <c r="C4" s="101" t="s">
        <v>186</v>
      </c>
      <c r="D4" s="237">
        <f>'Lamb Data'!E2</f>
        <v>11</v>
      </c>
      <c r="E4" s="93"/>
      <c r="F4" s="93"/>
      <c r="G4" s="93"/>
    </row>
    <row r="5" spans="1:7" ht="14.25" x14ac:dyDescent="0.2">
      <c r="A5" s="93"/>
      <c r="B5" s="93"/>
      <c r="C5" s="93"/>
      <c r="D5" s="93"/>
      <c r="E5" s="93"/>
      <c r="F5" s="93"/>
      <c r="G5" s="93"/>
    </row>
    <row r="6" spans="1:7" ht="14.25" x14ac:dyDescent="0.2">
      <c r="A6" s="93"/>
      <c r="B6" s="373" t="s">
        <v>43</v>
      </c>
      <c r="C6" s="374"/>
      <c r="D6" s="375"/>
      <c r="E6" s="93"/>
      <c r="F6" s="93"/>
      <c r="G6" s="93"/>
    </row>
    <row r="7" spans="1:7" ht="14.25" x14ac:dyDescent="0.2">
      <c r="A7" s="93"/>
      <c r="B7" s="377" t="s">
        <v>99</v>
      </c>
      <c r="C7" s="378"/>
      <c r="D7" s="379"/>
      <c r="E7" s="93"/>
      <c r="F7" s="93"/>
      <c r="G7" s="93"/>
    </row>
    <row r="8" spans="1:7" ht="14.25" x14ac:dyDescent="0.2">
      <c r="A8" s="93"/>
      <c r="B8" s="93"/>
      <c r="C8" s="93"/>
      <c r="D8" s="93"/>
      <c r="E8" s="93"/>
      <c r="F8" s="93"/>
      <c r="G8" s="93"/>
    </row>
    <row r="9" spans="1:7" ht="14.25" x14ac:dyDescent="0.2">
      <c r="A9" s="93"/>
      <c r="B9" s="90" t="s">
        <v>16</v>
      </c>
      <c r="C9" s="63">
        <v>20</v>
      </c>
      <c r="D9" s="93"/>
      <c r="E9" s="93"/>
      <c r="F9" s="93"/>
      <c r="G9" s="93"/>
    </row>
    <row r="10" spans="1:7" ht="14.25" x14ac:dyDescent="0.2">
      <c r="A10" s="93"/>
      <c r="B10" s="90" t="s">
        <v>205</v>
      </c>
      <c r="C10" s="63"/>
      <c r="D10" s="93"/>
      <c r="E10" s="93"/>
      <c r="F10" s="93"/>
      <c r="G10" s="93"/>
    </row>
    <row r="11" spans="1:7" ht="14.25" x14ac:dyDescent="0.2">
      <c r="A11" s="93"/>
      <c r="B11" s="91" t="s">
        <v>17</v>
      </c>
      <c r="C11" s="103" t="s">
        <v>11</v>
      </c>
      <c r="D11" s="103" t="s">
        <v>6</v>
      </c>
      <c r="E11" s="93"/>
      <c r="F11" s="93"/>
      <c r="G11" s="93"/>
    </row>
    <row r="12" spans="1:7" ht="14.25" x14ac:dyDescent="0.2">
      <c r="A12" s="93"/>
      <c r="B12" s="91" t="s">
        <v>44</v>
      </c>
      <c r="C12" s="83" t="s">
        <v>11</v>
      </c>
      <c r="D12" s="83" t="s">
        <v>5</v>
      </c>
      <c r="E12" s="93"/>
      <c r="F12" s="93"/>
      <c r="G12" s="93"/>
    </row>
    <row r="13" spans="1:7" ht="14.25" x14ac:dyDescent="0.2">
      <c r="A13" s="93"/>
      <c r="B13" s="93"/>
      <c r="C13" s="93"/>
      <c r="D13" s="93"/>
      <c r="E13" s="93"/>
      <c r="F13" s="93"/>
      <c r="G13" s="93"/>
    </row>
    <row r="14" spans="1:7" ht="14.25" x14ac:dyDescent="0.2">
      <c r="A14" s="93"/>
      <c r="B14" s="376" t="s">
        <v>174</v>
      </c>
      <c r="C14" s="376"/>
      <c r="D14" s="376"/>
      <c r="E14" s="93"/>
      <c r="F14" s="93"/>
      <c r="G14" s="93"/>
    </row>
    <row r="15" spans="1:7" ht="14.25" x14ac:dyDescent="0.2">
      <c r="A15" s="93"/>
      <c r="B15" s="90" t="s">
        <v>100</v>
      </c>
      <c r="C15" s="213"/>
      <c r="D15" s="100" t="s">
        <v>175</v>
      </c>
      <c r="E15" s="93"/>
      <c r="F15" s="93"/>
      <c r="G15" s="93"/>
    </row>
    <row r="16" spans="1:7" ht="14.25" x14ac:dyDescent="0.2">
      <c r="A16" s="93"/>
      <c r="B16" s="90" t="s">
        <v>65</v>
      </c>
      <c r="C16" s="213"/>
      <c r="D16" s="100" t="s">
        <v>175</v>
      </c>
      <c r="E16" s="93"/>
      <c r="F16" s="93"/>
      <c r="G16" s="93"/>
    </row>
    <row r="17" spans="1:9" ht="14.25" x14ac:dyDescent="0.2">
      <c r="A17" s="93"/>
      <c r="B17" s="90" t="s">
        <v>63</v>
      </c>
      <c r="C17" s="213"/>
      <c r="D17" s="100" t="s">
        <v>175</v>
      </c>
      <c r="E17" s="93"/>
      <c r="F17" s="93"/>
      <c r="G17" s="93"/>
    </row>
    <row r="18" spans="1:9" ht="14.25" x14ac:dyDescent="0.2">
      <c r="A18" s="93"/>
      <c r="B18" s="90" t="s">
        <v>81</v>
      </c>
      <c r="C18" s="213"/>
      <c r="D18" s="100" t="s">
        <v>175</v>
      </c>
      <c r="E18" s="93"/>
      <c r="F18" s="93"/>
      <c r="G18" s="95"/>
    </row>
    <row r="19" spans="1:9" ht="14.25" x14ac:dyDescent="0.2">
      <c r="A19" s="93"/>
      <c r="B19" s="90" t="s">
        <v>47</v>
      </c>
      <c r="C19" s="213"/>
      <c r="D19" s="100" t="s">
        <v>175</v>
      </c>
      <c r="E19" s="93"/>
      <c r="F19" s="93"/>
      <c r="G19" s="93"/>
    </row>
    <row r="20" spans="1:9" ht="14.25" x14ac:dyDescent="0.2">
      <c r="A20" s="93"/>
      <c r="B20" s="90" t="s">
        <v>167</v>
      </c>
      <c r="C20" s="213"/>
      <c r="D20" s="100" t="s">
        <v>175</v>
      </c>
      <c r="E20" s="93"/>
      <c r="F20" s="93"/>
      <c r="G20" s="93"/>
    </row>
    <row r="21" spans="1:9" ht="14.25" x14ac:dyDescent="0.2">
      <c r="A21" s="93"/>
      <c r="B21" s="90" t="s">
        <v>49</v>
      </c>
      <c r="C21" s="213"/>
      <c r="D21" s="100" t="s">
        <v>175</v>
      </c>
      <c r="E21" s="93"/>
      <c r="F21" s="93"/>
      <c r="G21" s="93"/>
    </row>
    <row r="22" spans="1:9" ht="14.25" x14ac:dyDescent="0.2">
      <c r="A22" s="93"/>
      <c r="B22" s="203" t="s">
        <v>168</v>
      </c>
      <c r="C22" s="213"/>
      <c r="D22" s="100" t="s">
        <v>175</v>
      </c>
      <c r="E22" s="93"/>
      <c r="F22" s="93"/>
      <c r="G22" s="93"/>
    </row>
    <row r="23" spans="1:9" ht="15" thickBot="1" x14ac:dyDescent="0.25">
      <c r="A23" s="93"/>
      <c r="B23" s="93"/>
      <c r="C23" s="93"/>
      <c r="D23" s="93"/>
      <c r="E23" s="93"/>
      <c r="F23" s="93"/>
      <c r="G23" s="93"/>
    </row>
    <row r="24" spans="1:9" ht="15" thickBot="1" x14ac:dyDescent="0.25">
      <c r="A24" s="93"/>
      <c r="B24" s="250" t="s">
        <v>18</v>
      </c>
      <c r="C24" s="279" t="s">
        <v>15</v>
      </c>
      <c r="D24" s="279" t="s">
        <v>19</v>
      </c>
      <c r="E24" s="279" t="s">
        <v>78</v>
      </c>
      <c r="F24" s="280" t="s">
        <v>42</v>
      </c>
      <c r="G24" s="93"/>
    </row>
    <row r="25" spans="1:9" ht="14.25" x14ac:dyDescent="0.2">
      <c r="A25" s="93"/>
      <c r="B25" s="247" t="s">
        <v>206</v>
      </c>
      <c r="C25" s="254">
        <f>'Lamb Data'!B11</f>
        <v>385</v>
      </c>
      <c r="D25" s="248">
        <f>'Lamb Data'!C11</f>
        <v>516</v>
      </c>
      <c r="E25" s="248">
        <f>'Lamb Data'!D11</f>
        <v>515</v>
      </c>
      <c r="F25" s="255">
        <f>'Lamb Data'!E11</f>
        <v>0</v>
      </c>
      <c r="G25" s="93"/>
    </row>
    <row r="26" spans="1:9" ht="14.25" x14ac:dyDescent="0.2">
      <c r="A26" s="93"/>
      <c r="B26" s="90" t="s">
        <v>207</v>
      </c>
      <c r="C26" s="68">
        <f>'Lamb Data'!B12</f>
        <v>385</v>
      </c>
      <c r="D26" s="67">
        <f>D25</f>
        <v>516</v>
      </c>
      <c r="E26" s="67">
        <f>'Lamb Data'!D12</f>
        <v>515</v>
      </c>
      <c r="F26" s="84">
        <f>'Lamb Data'!E12</f>
        <v>0</v>
      </c>
      <c r="G26" s="93"/>
      <c r="H26" s="72"/>
    </row>
    <row r="27" spans="1:9" ht="15" thickBot="1" x14ac:dyDescent="0.25">
      <c r="A27" s="93"/>
      <c r="B27" s="97" t="str">
        <f>IF(C9&lt;'Lamb Data'!B49,"Realisation",IF(C9&lt;'Lamb Data'!B48,"Realisation",IF(Lamb!C9&lt;'Lamb Data'!B47,"IoMMs small carcass reduction of 20p", " ")))</f>
        <v xml:space="preserve"> </v>
      </c>
      <c r="C27" s="93"/>
      <c r="D27" s="93"/>
      <c r="E27" s="93"/>
      <c r="F27" s="93"/>
      <c r="G27" s="93"/>
    </row>
    <row r="28" spans="1:9" ht="15" thickBot="1" x14ac:dyDescent="0.25">
      <c r="A28" s="93"/>
      <c r="B28" s="250" t="s">
        <v>174</v>
      </c>
      <c r="C28" s="251" t="s">
        <v>48</v>
      </c>
      <c r="D28" s="252" t="s">
        <v>191</v>
      </c>
      <c r="E28" s="252" t="s">
        <v>165</v>
      </c>
      <c r="F28" s="253" t="s">
        <v>42</v>
      </c>
      <c r="G28" s="93"/>
    </row>
    <row r="29" spans="1:9" ht="14.25" x14ac:dyDescent="0.2">
      <c r="A29" s="93"/>
      <c r="B29" s="247" t="s">
        <v>100</v>
      </c>
      <c r="C29" s="248">
        <f>'Lamb Data'!B28</f>
        <v>0</v>
      </c>
      <c r="D29" s="248">
        <f>'Lamb Data'!C28</f>
        <v>60</v>
      </c>
      <c r="E29" s="248">
        <f>'Lamb Data'!D28</f>
        <v>60</v>
      </c>
      <c r="F29" s="249">
        <f>'Lamb Data'!E28</f>
        <v>0</v>
      </c>
      <c r="G29" s="93"/>
    </row>
    <row r="30" spans="1:9" ht="14.25" x14ac:dyDescent="0.2">
      <c r="A30" s="93"/>
      <c r="B30" s="90" t="s">
        <v>65</v>
      </c>
      <c r="C30" s="67">
        <f>'Lamb Data'!B29</f>
        <v>0</v>
      </c>
      <c r="D30" s="67">
        <f>'Lamb Data'!C29</f>
        <v>0</v>
      </c>
      <c r="E30" s="67">
        <f>'Lamb Data'!D29</f>
        <v>0</v>
      </c>
      <c r="F30" s="105">
        <f>'Lamb Data'!E29</f>
        <v>0</v>
      </c>
      <c r="G30" s="93"/>
      <c r="I30" s="72"/>
    </row>
    <row r="31" spans="1:9" ht="14.25" x14ac:dyDescent="0.2">
      <c r="A31" s="93"/>
      <c r="B31" s="90" t="s">
        <v>188</v>
      </c>
      <c r="C31" s="67">
        <f>'Lamb Data'!B30+'Lamb Data'!B31</f>
        <v>68</v>
      </c>
      <c r="D31" s="67">
        <f>'Lamb Data'!C30+'Lamb Data'!C31</f>
        <v>93</v>
      </c>
      <c r="E31" s="67">
        <f>'Lamb Data'!D30+'Lamb Data'!D31</f>
        <v>93</v>
      </c>
      <c r="F31" s="67">
        <f>'Lamb Data'!E30+'Lamb Data'!E31</f>
        <v>0</v>
      </c>
      <c r="G31" s="93"/>
    </row>
    <row r="32" spans="1:9" ht="14.25" x14ac:dyDescent="0.2">
      <c r="A32" s="93"/>
      <c r="B32" s="90" t="s">
        <v>167</v>
      </c>
      <c r="C32" s="223">
        <f>'Lamb Data'!B33</f>
        <v>50</v>
      </c>
      <c r="D32" s="223">
        <f>'Lamb Data'!C33</f>
        <v>50</v>
      </c>
      <c r="E32" s="223">
        <f>'Lamb Data'!D33</f>
        <v>0</v>
      </c>
      <c r="F32" s="224">
        <f>'Lamb Data'!E33</f>
        <v>0</v>
      </c>
      <c r="G32" s="93"/>
    </row>
    <row r="33" spans="1:7" ht="14.25" x14ac:dyDescent="0.2">
      <c r="A33" s="93"/>
      <c r="B33" s="90" t="s">
        <v>49</v>
      </c>
      <c r="C33" s="67">
        <f>'Lamb Data'!B34</f>
        <v>56</v>
      </c>
      <c r="D33" s="67">
        <f>'Lamb Data'!C34</f>
        <v>85</v>
      </c>
      <c r="E33" s="67">
        <f>'Lamb Data'!D34</f>
        <v>85</v>
      </c>
      <c r="F33" s="105">
        <f>'Lamb Data'!E34</f>
        <v>0</v>
      </c>
      <c r="G33" s="93"/>
    </row>
    <row r="34" spans="1:7" ht="14.25" x14ac:dyDescent="0.2">
      <c r="A34" s="93"/>
      <c r="B34" s="203" t="s">
        <v>169</v>
      </c>
      <c r="C34" s="67">
        <f>'Lamb Data'!B35</f>
        <v>0</v>
      </c>
      <c r="D34" s="67">
        <f>'Lamb Data'!C35</f>
        <v>0</v>
      </c>
      <c r="E34" s="67">
        <f>'Lamb Data'!D35</f>
        <v>0</v>
      </c>
      <c r="F34" s="84">
        <f>'Lamb Data'!E35</f>
        <v>0</v>
      </c>
      <c r="G34" s="93"/>
    </row>
    <row r="35" spans="1:7" ht="15" thickBot="1" x14ac:dyDescent="0.25">
      <c r="A35" s="93"/>
      <c r="B35" s="239" t="str">
        <f>'Lamb Data'!A36</f>
        <v>Tail &amp; Kidney Knob</v>
      </c>
      <c r="C35" s="240"/>
      <c r="D35" s="240"/>
      <c r="E35" s="241">
        <f>'Lamb Data'!F36</f>
        <v>515</v>
      </c>
      <c r="F35" s="242">
        <f>'Lamb Data'!E36</f>
        <v>0</v>
      </c>
      <c r="G35" s="93"/>
    </row>
    <row r="36" spans="1:7" ht="15" thickBot="1" x14ac:dyDescent="0.25">
      <c r="A36" s="93"/>
      <c r="B36" s="243" t="s">
        <v>30</v>
      </c>
      <c r="C36" s="244">
        <f>'Lamb Data'!B37</f>
        <v>174</v>
      </c>
      <c r="D36" s="244">
        <f>'Lamb Data'!C37</f>
        <v>288</v>
      </c>
      <c r="E36" s="245">
        <f>'Lamb Data'!F37</f>
        <v>753</v>
      </c>
      <c r="F36" s="246">
        <f>'Lamb Data'!E37</f>
        <v>0</v>
      </c>
      <c r="G36" s="94"/>
    </row>
    <row r="37" spans="1:7" ht="14.25" x14ac:dyDescent="0.2">
      <c r="A37" s="93"/>
      <c r="B37" s="93"/>
      <c r="C37" s="94"/>
      <c r="D37" s="94"/>
      <c r="E37" s="93"/>
      <c r="F37" s="95"/>
      <c r="G37" s="94"/>
    </row>
    <row r="38" spans="1:7" ht="14.25" x14ac:dyDescent="0.2">
      <c r="A38" s="93"/>
      <c r="B38" s="89" t="s">
        <v>29</v>
      </c>
      <c r="C38" s="92">
        <f>'Lamb Data'!B38</f>
        <v>8.6999999999999993</v>
      </c>
      <c r="D38" s="92">
        <f>'Lamb Data'!C38</f>
        <v>14.4</v>
      </c>
      <c r="E38" s="92">
        <f>'Lamb Data'!F38</f>
        <v>39.631578947368418</v>
      </c>
      <c r="F38" s="92">
        <f>'Lamb Data'!E38</f>
        <v>0</v>
      </c>
      <c r="G38" s="95"/>
    </row>
    <row r="39" spans="1:7" ht="14.25" x14ac:dyDescent="0.2">
      <c r="A39" s="93"/>
      <c r="B39" s="97" t="str">
        <f>IF('Lamb Data'!D8&gt;0,"Abattoir deduction includes 5% reduction in carcass wt for Tail, Kidney knob etc"," ")</f>
        <v>Abattoir deduction includes 5% reduction in carcass wt for Tail, Kidney knob etc</v>
      </c>
      <c r="C39" s="93"/>
      <c r="D39" s="93"/>
      <c r="E39" s="93"/>
      <c r="F39" s="93"/>
      <c r="G39" s="95"/>
    </row>
    <row r="40" spans="1:7" ht="14.25" x14ac:dyDescent="0.2">
      <c r="A40" s="93"/>
      <c r="B40" s="89" t="s">
        <v>31</v>
      </c>
      <c r="C40" s="92">
        <f>'Lamb Data'!B15</f>
        <v>3.7629999999999999</v>
      </c>
      <c r="D40" s="92">
        <f>'Lamb Data'!C15</f>
        <v>5.016</v>
      </c>
      <c r="E40" s="92">
        <f>'Lamb Data'!F15</f>
        <v>4.7735000000000003</v>
      </c>
      <c r="F40" s="92">
        <f>'Lamb Data'!E15</f>
        <v>0</v>
      </c>
      <c r="G40" s="94"/>
    </row>
    <row r="41" spans="1:7" ht="14.25" x14ac:dyDescent="0.2">
      <c r="A41" s="93"/>
      <c r="B41" s="93"/>
      <c r="C41" s="93"/>
      <c r="D41" s="93"/>
      <c r="E41" s="93"/>
      <c r="F41" s="93"/>
      <c r="G41" s="93"/>
    </row>
    <row r="42" spans="1:7" x14ac:dyDescent="0.25">
      <c r="A42" s="93"/>
      <c r="B42" s="89" t="s">
        <v>33</v>
      </c>
      <c r="C42" s="80">
        <f>'Lamb Data'!B18</f>
        <v>75.260000000000005</v>
      </c>
      <c r="D42" s="80">
        <f>'Lamb Data'!C18</f>
        <v>100.32000000000001</v>
      </c>
      <c r="E42" s="80">
        <f>'Lamb Data'!F18</f>
        <v>95.47</v>
      </c>
      <c r="F42" s="80">
        <f>'Lamb Data'!E18</f>
        <v>0</v>
      </c>
      <c r="G42" s="96"/>
    </row>
    <row r="43" spans="1:7" ht="14.4" thickBot="1" x14ac:dyDescent="0.3">
      <c r="A43" s="93"/>
      <c r="B43" s="95"/>
      <c r="C43" s="95"/>
      <c r="D43" s="95"/>
      <c r="E43" s="95"/>
      <c r="F43" s="95"/>
      <c r="G43" s="96"/>
    </row>
    <row r="44" spans="1:7" ht="14.4" thickBot="1" x14ac:dyDescent="0.3">
      <c r="A44" s="93"/>
      <c r="B44" s="257" t="s">
        <v>192</v>
      </c>
      <c r="C44" s="258"/>
      <c r="D44" s="259">
        <f>$C$42/D42</f>
        <v>0.75019936204146731</v>
      </c>
      <c r="E44" s="259">
        <f t="shared" ref="E44" si="0">$C$42/E42</f>
        <v>0.78831046402011107</v>
      </c>
      <c r="F44" s="260" t="str">
        <f>IF(F42&gt;0,$C$42/F42,"")</f>
        <v/>
      </c>
      <c r="G44" s="96"/>
    </row>
    <row r="45" spans="1:7" x14ac:dyDescent="0.25">
      <c r="A45" s="93"/>
      <c r="B45" s="95"/>
      <c r="C45" s="99"/>
      <c r="D45" s="96"/>
      <c r="E45" s="96"/>
      <c r="F45" s="96"/>
      <c r="G45" s="96"/>
    </row>
    <row r="46" spans="1:7" x14ac:dyDescent="0.25">
      <c r="A46" s="93"/>
      <c r="B46" s="218" t="s">
        <v>189</v>
      </c>
      <c r="C46" s="80">
        <f>'Lamb Data'!B32/100</f>
        <v>1.4</v>
      </c>
      <c r="D46" s="80">
        <f>'Lamb Data'!C20</f>
        <v>11.843333333333334</v>
      </c>
      <c r="E46" s="80">
        <f>'Lamb export'!H34</f>
        <v>11.843333333333334</v>
      </c>
      <c r="F46" s="80">
        <f>'Lamb export'!J34</f>
        <v>11.843333333333334</v>
      </c>
      <c r="G46" s="96"/>
    </row>
    <row r="47" spans="1:7" x14ac:dyDescent="0.25">
      <c r="A47" s="93"/>
      <c r="B47" s="95"/>
      <c r="C47" s="99"/>
      <c r="D47" s="99"/>
      <c r="E47" s="99"/>
      <c r="F47" s="99"/>
      <c r="G47" s="96"/>
    </row>
    <row r="48" spans="1:7" x14ac:dyDescent="0.25">
      <c r="A48" s="93"/>
      <c r="B48" s="89" t="s">
        <v>140</v>
      </c>
      <c r="C48" s="80">
        <f>'Lamb Data'!B22</f>
        <v>73.86</v>
      </c>
      <c r="D48" s="80">
        <f>'Lamb Data'!C22</f>
        <v>88.476666666666674</v>
      </c>
      <c r="E48" s="80">
        <f>'Lamb Data'!F22</f>
        <v>83.626666666666665</v>
      </c>
      <c r="F48" s="80">
        <f>'Lamb Data'!E22</f>
        <v>-11.843333333333334</v>
      </c>
      <c r="G48" s="93"/>
    </row>
    <row r="49" spans="1:7" ht="14.4" thickBot="1" x14ac:dyDescent="0.3">
      <c r="A49" s="93"/>
      <c r="B49" s="93"/>
      <c r="C49" s="93"/>
      <c r="D49" s="93"/>
      <c r="E49" s="93"/>
      <c r="F49" s="93"/>
      <c r="G49" s="93"/>
    </row>
    <row r="50" spans="1:7" ht="14.4" thickBot="1" x14ac:dyDescent="0.3">
      <c r="A50" s="93"/>
      <c r="B50" s="257" t="s">
        <v>192</v>
      </c>
      <c r="C50" s="261"/>
      <c r="D50" s="259">
        <f>$C$48/D48</f>
        <v>0.83479636815732949</v>
      </c>
      <c r="E50" s="259">
        <f>$C$48/E48</f>
        <v>0.88321109693877553</v>
      </c>
      <c r="F50" s="260" t="str">
        <f>IF(F48&gt;0,$C$48/F48,"")</f>
        <v/>
      </c>
      <c r="G50" s="93"/>
    </row>
    <row r="51" spans="1:7" ht="14.4" thickBot="1" x14ac:dyDescent="0.3">
      <c r="A51" s="93"/>
      <c r="B51" s="93"/>
      <c r="C51" s="93"/>
      <c r="D51" s="93"/>
      <c r="E51" s="93"/>
      <c r="F51" s="93"/>
      <c r="G51" s="93"/>
    </row>
    <row r="52" spans="1:7" ht="14.4" thickBot="1" x14ac:dyDescent="0.3">
      <c r="A52" s="93"/>
      <c r="B52" s="257" t="s">
        <v>202</v>
      </c>
      <c r="C52" s="304" t="s">
        <v>15</v>
      </c>
      <c r="D52" s="382" t="s">
        <v>210</v>
      </c>
      <c r="E52" s="383"/>
      <c r="F52" s="289" t="s">
        <v>42</v>
      </c>
      <c r="G52" s="93"/>
    </row>
    <row r="53" spans="1:7" ht="14.4" thickBot="1" x14ac:dyDescent="0.3">
      <c r="A53" s="93"/>
      <c r="B53" s="93"/>
      <c r="C53" s="93"/>
      <c r="D53" s="287"/>
      <c r="E53" s="288"/>
      <c r="F53" s="290"/>
      <c r="G53" s="93"/>
    </row>
    <row r="54" spans="1:7" ht="14.4" thickBot="1" x14ac:dyDescent="0.3">
      <c r="A54" s="93"/>
      <c r="B54" s="276" t="s">
        <v>211</v>
      </c>
      <c r="C54" s="286"/>
      <c r="D54" s="291">
        <f>'Lamb export'!H22</f>
        <v>300</v>
      </c>
      <c r="E54" s="292">
        <f>'Lamb export'!I22</f>
        <v>600</v>
      </c>
      <c r="F54" s="293">
        <f>'Lamb export'!J22</f>
        <v>300</v>
      </c>
      <c r="G54" s="93"/>
    </row>
    <row r="55" spans="1:7" ht="14.4" thickBot="1" x14ac:dyDescent="0.3">
      <c r="A55" s="93"/>
      <c r="B55" s="93"/>
      <c r="C55" s="98"/>
      <c r="D55" s="294"/>
      <c r="E55" s="295"/>
      <c r="F55" s="296"/>
      <c r="G55" s="93"/>
    </row>
    <row r="56" spans="1:7" ht="14.4" thickBot="1" x14ac:dyDescent="0.3">
      <c r="A56" s="93"/>
      <c r="B56" s="257" t="s">
        <v>140</v>
      </c>
      <c r="C56" s="303">
        <f>C48</f>
        <v>73.86</v>
      </c>
      <c r="D56" s="297">
        <f>('Lamb export'!E7*'Lamb export'!E8)-'Lamb export'!H61</f>
        <v>51.799916666666668</v>
      </c>
      <c r="E56" s="298">
        <f>('Lamb export'!E7*'Lamb export'!E8)-'Lamb export'!I61</f>
        <v>57.071583333333336</v>
      </c>
      <c r="F56" s="299">
        <f>('Lamb export'!E7*'Lamb export'!E8)-'Lamb export'!J61</f>
        <v>51.799916666666668</v>
      </c>
      <c r="G56" s="93"/>
    </row>
    <row r="57" spans="1:7" ht="14.4" thickBot="1" x14ac:dyDescent="0.3">
      <c r="A57" s="93"/>
      <c r="B57" s="93"/>
      <c r="C57" s="98"/>
      <c r="D57" s="294"/>
      <c r="E57" s="295"/>
      <c r="F57" s="296"/>
      <c r="G57" s="93"/>
    </row>
    <row r="58" spans="1:7" ht="14.4" thickBot="1" x14ac:dyDescent="0.3">
      <c r="A58" s="93"/>
      <c r="B58" s="257" t="s">
        <v>203</v>
      </c>
      <c r="C58" s="286"/>
      <c r="D58" s="300">
        <f>$C$48/D56</f>
        <v>1.4258710197410227</v>
      </c>
      <c r="E58" s="301">
        <f>$C$48/E56</f>
        <v>1.2941642002222356</v>
      </c>
      <c r="F58" s="302">
        <f>IF(F56&gt;0,$C$48/F56,"")</f>
        <v>1.4258710197410227</v>
      </c>
      <c r="G58" s="93"/>
    </row>
    <row r="59" spans="1:7" x14ac:dyDescent="0.25">
      <c r="B59" s="93"/>
      <c r="C59" s="98"/>
      <c r="D59" s="93"/>
      <c r="E59" s="93"/>
      <c r="F59" s="93"/>
      <c r="G59" s="93"/>
    </row>
    <row r="60" spans="1:7" x14ac:dyDescent="0.25">
      <c r="B60" s="65"/>
      <c r="C60" s="73"/>
      <c r="D60" s="65"/>
      <c r="E60" s="65"/>
    </row>
    <row r="83" spans="4:4" x14ac:dyDescent="0.25">
      <c r="D83" s="62" t="s">
        <v>11</v>
      </c>
    </row>
  </sheetData>
  <sheetProtection selectLockedCells="1"/>
  <mergeCells count="5">
    <mergeCell ref="B6:D6"/>
    <mergeCell ref="B14:D14"/>
    <mergeCell ref="B7:D7"/>
    <mergeCell ref="B3:C3"/>
    <mergeCell ref="D52:E52"/>
  </mergeCells>
  <conditionalFormatting sqref="C26">
    <cfRule type="cellIs" dxfId="6" priority="1" operator="lessThan">
      <formula>$C$25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'Lamb Data'!$H$27:$H$31</xm:f>
          </x14:formula1>
          <xm:sqref>C12</xm:sqref>
        </x14:dataValidation>
        <x14:dataValidation type="list" allowBlank="1" showInputMessage="1" showErrorMessage="1">
          <x14:formula1>
            <xm:f>'Lamb Data'!$I$18:$O$18</xm:f>
          </x14:formula1>
          <xm:sqref>D12</xm:sqref>
        </x14:dataValidation>
        <x14:dataValidation type="list" allowBlank="1" showInputMessage="1" showErrorMessage="1">
          <x14:formula1>
            <xm:f>'Lamb Data'!$D$45:$D$84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BA85"/>
  <sheetViews>
    <sheetView zoomScale="74" zoomScaleNormal="74" workbookViewId="0">
      <selection activeCell="M46" sqref="M46"/>
    </sheetView>
  </sheetViews>
  <sheetFormatPr defaultRowHeight="13.8" x14ac:dyDescent="0.25"/>
  <cols>
    <col min="1" max="1" width="17" customWidth="1"/>
    <col min="2" max="2" width="10.5" bestFit="1" customWidth="1"/>
    <col min="4" max="4" width="10.59765625" customWidth="1"/>
    <col min="5" max="5" width="12.09765625" customWidth="1"/>
    <col min="6" max="6" width="9" customWidth="1"/>
    <col min="13" max="13" width="9.3984375" customWidth="1"/>
    <col min="18" max="18" width="9.19921875" customWidth="1"/>
    <col min="19" max="19" width="10.5" customWidth="1"/>
  </cols>
  <sheetData>
    <row r="1" spans="1:53" x14ac:dyDescent="0.25">
      <c r="K1" s="385" t="s">
        <v>196</v>
      </c>
      <c r="L1" s="386"/>
      <c r="M1" s="386"/>
      <c r="N1" s="386"/>
      <c r="O1" s="386"/>
      <c r="P1" s="386"/>
      <c r="Q1" s="386"/>
      <c r="R1" s="386"/>
      <c r="S1" s="386"/>
      <c r="T1" s="386"/>
    </row>
    <row r="2" spans="1:53" ht="15" customHeight="1" x14ac:dyDescent="0.25">
      <c r="A2" t="s">
        <v>32</v>
      </c>
      <c r="B2" s="368">
        <v>43176</v>
      </c>
      <c r="C2" t="s">
        <v>145</v>
      </c>
      <c r="E2" s="235">
        <v>11</v>
      </c>
      <c r="K2" s="352"/>
      <c r="L2" s="384">
        <v>1</v>
      </c>
      <c r="M2" s="384"/>
      <c r="N2" s="384">
        <v>2</v>
      </c>
      <c r="O2" s="384"/>
      <c r="P2" s="384" t="s">
        <v>5</v>
      </c>
      <c r="Q2" s="384"/>
      <c r="R2" s="384" t="s">
        <v>6</v>
      </c>
      <c r="S2" s="384"/>
      <c r="T2" s="384" t="s">
        <v>7</v>
      </c>
      <c r="U2" s="384"/>
      <c r="V2" s="384" t="s">
        <v>8</v>
      </c>
      <c r="W2" s="384"/>
      <c r="X2" s="384">
        <v>5</v>
      </c>
      <c r="Y2" s="384"/>
      <c r="AA2" s="322"/>
      <c r="AB2" s="315">
        <v>1</v>
      </c>
      <c r="AC2" s="315">
        <v>2</v>
      </c>
      <c r="AD2" s="315" t="s">
        <v>5</v>
      </c>
      <c r="AE2" s="315" t="s">
        <v>6</v>
      </c>
      <c r="AF2" s="315" t="s">
        <v>7</v>
      </c>
      <c r="AG2" s="315" t="s">
        <v>8</v>
      </c>
      <c r="AH2" s="323">
        <v>5</v>
      </c>
      <c r="AI2" s="354"/>
      <c r="AL2" s="360"/>
      <c r="AM2" s="361" t="s">
        <v>9</v>
      </c>
      <c r="AN2" s="361">
        <v>10</v>
      </c>
      <c r="AO2" s="361">
        <v>517</v>
      </c>
      <c r="AP2" s="361">
        <v>255</v>
      </c>
      <c r="AQ2" s="361">
        <v>528.29999999999995</v>
      </c>
      <c r="AR2" s="361">
        <v>766</v>
      </c>
      <c r="AS2" s="361">
        <v>530.4</v>
      </c>
      <c r="AT2" s="361">
        <v>218</v>
      </c>
      <c r="AU2" s="361">
        <v>515.79999999999995</v>
      </c>
      <c r="AV2" s="361">
        <v>29</v>
      </c>
      <c r="AW2" s="361">
        <v>496.3</v>
      </c>
      <c r="AX2" s="361">
        <v>1</v>
      </c>
      <c r="AY2" s="361">
        <v>450</v>
      </c>
      <c r="AZ2" s="361">
        <v>2</v>
      </c>
      <c r="BA2">
        <v>457.5</v>
      </c>
    </row>
    <row r="3" spans="1:53" ht="15" customHeight="1" x14ac:dyDescent="0.25">
      <c r="B3" s="368"/>
      <c r="E3" s="235"/>
      <c r="K3" s="352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AA3" s="322" t="s">
        <v>9</v>
      </c>
      <c r="AB3" s="317">
        <f>L5/$L$11</f>
        <v>1.9566025553229374E-4</v>
      </c>
      <c r="AC3" s="317">
        <f>N5/$L$11</f>
        <v>4.98933651607349E-3</v>
      </c>
      <c r="AD3" s="317">
        <f>P5/$L$11</f>
        <v>1.49875755737737E-2</v>
      </c>
      <c r="AE3" s="317">
        <f>R5/$L$11</f>
        <v>4.2653935706040034E-3</v>
      </c>
      <c r="AF3" s="317">
        <f>T5/$L$11</f>
        <v>5.6741474104365182E-4</v>
      </c>
      <c r="AG3" s="317">
        <f>V5/$L$11</f>
        <v>1.9566025553229372E-5</v>
      </c>
      <c r="AH3" s="317">
        <f>X5/$L$11</f>
        <v>3.9132051106458743E-5</v>
      </c>
      <c r="AI3" s="357">
        <f>SUM(AB3:AH3)</f>
        <v>2.5064078733686827E-2</v>
      </c>
      <c r="AL3" s="360"/>
      <c r="AM3" s="361" t="s">
        <v>10</v>
      </c>
      <c r="AN3" s="361">
        <v>64</v>
      </c>
      <c r="AO3" s="361">
        <v>513.4</v>
      </c>
      <c r="AP3" s="361">
        <v>1430</v>
      </c>
      <c r="AQ3" s="361">
        <v>524.70000000000005</v>
      </c>
      <c r="AR3" s="361">
        <v>4993</v>
      </c>
      <c r="AS3" s="361">
        <v>526.29999999999995</v>
      </c>
      <c r="AT3" s="361">
        <v>1784</v>
      </c>
      <c r="AU3" s="361">
        <v>516.5</v>
      </c>
      <c r="AV3" s="361">
        <v>305</v>
      </c>
      <c r="AW3" s="361">
        <v>493.3</v>
      </c>
      <c r="AX3" s="361">
        <v>41</v>
      </c>
      <c r="AY3" s="361">
        <v>467.5</v>
      </c>
      <c r="AZ3" s="361">
        <v>7</v>
      </c>
      <c r="BA3">
        <v>435.7</v>
      </c>
    </row>
    <row r="4" spans="1:53" x14ac:dyDescent="0.25">
      <c r="A4" t="s">
        <v>27</v>
      </c>
      <c r="B4" s="369">
        <f>L11</f>
        <v>51109</v>
      </c>
      <c r="D4" t="s">
        <v>94</v>
      </c>
      <c r="G4" s="48">
        <v>2.5000000000000001E-2</v>
      </c>
      <c r="K4" s="7"/>
      <c r="L4" s="356" t="s">
        <v>25</v>
      </c>
      <c r="M4" s="356" t="s">
        <v>26</v>
      </c>
      <c r="N4" s="356" t="s">
        <v>25</v>
      </c>
      <c r="O4" s="356" t="s">
        <v>26</v>
      </c>
      <c r="P4" s="356" t="s">
        <v>25</v>
      </c>
      <c r="Q4" s="356" t="s">
        <v>26</v>
      </c>
      <c r="R4" s="356" t="s">
        <v>25</v>
      </c>
      <c r="S4" s="356" t="s">
        <v>26</v>
      </c>
      <c r="T4" s="356" t="s">
        <v>25</v>
      </c>
      <c r="U4" s="356" t="s">
        <v>26</v>
      </c>
      <c r="V4" s="356" t="s">
        <v>25</v>
      </c>
      <c r="W4" s="356" t="s">
        <v>26</v>
      </c>
      <c r="X4" s="356" t="s">
        <v>25</v>
      </c>
      <c r="Y4" s="356" t="s">
        <v>26</v>
      </c>
      <c r="AA4" s="322" t="s">
        <v>10</v>
      </c>
      <c r="AB4" s="317">
        <f>L6/$L$11</f>
        <v>1.2522256354066798E-3</v>
      </c>
      <c r="AC4" s="317">
        <f>N6/$L$11</f>
        <v>2.7979416541118001E-2</v>
      </c>
      <c r="AD4" s="317">
        <f>P6/$L$11</f>
        <v>9.7693165587274255E-2</v>
      </c>
      <c r="AE4" s="317">
        <f>R6/$L$11</f>
        <v>3.4905789586961201E-2</v>
      </c>
      <c r="AF4" s="317">
        <f>T6/$L$11</f>
        <v>5.9676377937349584E-3</v>
      </c>
      <c r="AG4" s="317">
        <f>V6/$L$11</f>
        <v>8.0220704768240423E-4</v>
      </c>
      <c r="AH4" s="317">
        <f>X6/$L$11</f>
        <v>1.369621788726056E-4</v>
      </c>
      <c r="AI4" s="357">
        <f t="shared" ref="AI4:AI6" si="0">SUM(AB4:AH4)</f>
        <v>0.16873740437105011</v>
      </c>
      <c r="AL4" s="360"/>
      <c r="AM4" s="361" t="s">
        <v>11</v>
      </c>
      <c r="AN4" s="361">
        <v>543</v>
      </c>
      <c r="AO4" s="361">
        <v>497.7</v>
      </c>
      <c r="AP4" s="361">
        <v>6382</v>
      </c>
      <c r="AQ4" s="361">
        <v>513.79999999999995</v>
      </c>
      <c r="AR4" s="361">
        <v>16637</v>
      </c>
      <c r="AS4" s="361">
        <v>516</v>
      </c>
      <c r="AT4" s="361">
        <v>5909</v>
      </c>
      <c r="AU4" s="361">
        <v>510.5</v>
      </c>
      <c r="AV4" s="361">
        <v>1105</v>
      </c>
      <c r="AW4" s="361">
        <v>496.1</v>
      </c>
      <c r="AX4" s="361">
        <v>159</v>
      </c>
      <c r="AY4" s="361">
        <v>471.5</v>
      </c>
      <c r="AZ4" s="361">
        <v>38</v>
      </c>
      <c r="BA4">
        <v>436.8</v>
      </c>
    </row>
    <row r="5" spans="1:53" ht="14.25" customHeight="1" x14ac:dyDescent="0.25">
      <c r="A5" t="s">
        <v>15</v>
      </c>
      <c r="B5" s="370">
        <v>385</v>
      </c>
      <c r="D5" t="s">
        <v>95</v>
      </c>
      <c r="G5" s="48">
        <v>2.5000000000000001E-2</v>
      </c>
      <c r="K5" t="s">
        <v>9</v>
      </c>
      <c r="L5">
        <v>10</v>
      </c>
      <c r="M5">
        <v>517</v>
      </c>
      <c r="N5">
        <v>255</v>
      </c>
      <c r="O5">
        <v>528.29999999999995</v>
      </c>
      <c r="P5">
        <v>766</v>
      </c>
      <c r="Q5">
        <v>530.4</v>
      </c>
      <c r="R5">
        <v>218</v>
      </c>
      <c r="S5">
        <v>515.79999999999995</v>
      </c>
      <c r="T5">
        <v>29</v>
      </c>
      <c r="U5">
        <v>496.3</v>
      </c>
      <c r="V5">
        <v>1</v>
      </c>
      <c r="W5">
        <v>450</v>
      </c>
      <c r="X5">
        <v>2</v>
      </c>
      <c r="Y5">
        <v>457.5</v>
      </c>
      <c r="AA5" s="322" t="s">
        <v>11</v>
      </c>
      <c r="AB5" s="317">
        <f>L7/$L$11</f>
        <v>1.0624351875403549E-2</v>
      </c>
      <c r="AC5" s="317">
        <f>N7/$L$11</f>
        <v>0.12487037508070986</v>
      </c>
      <c r="AD5" s="317">
        <f>P7/$L$11</f>
        <v>0.32551996712907705</v>
      </c>
      <c r="AE5" s="317">
        <f>R7/$L$11</f>
        <v>0.11561564499403236</v>
      </c>
      <c r="AF5" s="317">
        <f>T7/$L$11</f>
        <v>2.1620458236318457E-2</v>
      </c>
      <c r="AG5" s="317">
        <f>V7/$L$11</f>
        <v>3.1109980629634702E-3</v>
      </c>
      <c r="AH5" s="317">
        <f>X7/$L$11</f>
        <v>7.4350897102271616E-4</v>
      </c>
      <c r="AI5" s="357">
        <f t="shared" si="0"/>
        <v>0.60210530434952736</v>
      </c>
      <c r="AL5" s="360"/>
      <c r="AM5" s="361" t="s">
        <v>12</v>
      </c>
      <c r="AN5" s="361">
        <v>661</v>
      </c>
      <c r="AO5" s="361">
        <v>456</v>
      </c>
      <c r="AP5" s="361">
        <v>3660</v>
      </c>
      <c r="AQ5" s="361">
        <v>493.9</v>
      </c>
      <c r="AR5" s="361">
        <v>4532</v>
      </c>
      <c r="AS5" s="361">
        <v>503.4</v>
      </c>
      <c r="AT5" s="361">
        <v>1187</v>
      </c>
      <c r="AU5" s="361">
        <v>499.2</v>
      </c>
      <c r="AV5" s="361">
        <v>164</v>
      </c>
      <c r="AW5" s="361">
        <v>496.6</v>
      </c>
      <c r="AX5" s="361">
        <v>32</v>
      </c>
      <c r="AY5" s="361">
        <v>475</v>
      </c>
      <c r="AZ5" s="361">
        <v>3</v>
      </c>
      <c r="BA5">
        <v>440</v>
      </c>
    </row>
    <row r="6" spans="1:53" ht="14.25" customHeight="1" x14ac:dyDescent="0.25">
      <c r="A6" t="s">
        <v>91</v>
      </c>
      <c r="B6" t="str">
        <f>CONCATENATE(Lamb!C12,Lamb!D12)</f>
        <v>R3L</v>
      </c>
      <c r="K6" t="s">
        <v>10</v>
      </c>
      <c r="L6">
        <v>64</v>
      </c>
      <c r="M6">
        <v>513.4</v>
      </c>
      <c r="N6">
        <v>1430</v>
      </c>
      <c r="O6">
        <v>524.70000000000005</v>
      </c>
      <c r="P6">
        <v>4993</v>
      </c>
      <c r="Q6">
        <v>526.29999999999995</v>
      </c>
      <c r="R6">
        <v>1784</v>
      </c>
      <c r="S6">
        <v>516.5</v>
      </c>
      <c r="T6">
        <v>305</v>
      </c>
      <c r="U6">
        <v>493.3</v>
      </c>
      <c r="V6">
        <v>41</v>
      </c>
      <c r="W6">
        <v>467.5</v>
      </c>
      <c r="X6">
        <v>7</v>
      </c>
      <c r="Y6">
        <v>435.7</v>
      </c>
      <c r="AA6" s="322" t="s">
        <v>12</v>
      </c>
      <c r="AB6" s="317">
        <f>L8/$L$11</f>
        <v>1.2933142890684615E-2</v>
      </c>
      <c r="AC6" s="317">
        <f>N8/$L$11</f>
        <v>7.1611653524819505E-2</v>
      </c>
      <c r="AD6" s="317">
        <f>P8/$L$11</f>
        <v>8.8673227807235522E-2</v>
      </c>
      <c r="AE6" s="317">
        <f>R8/$L$11</f>
        <v>2.3224872331683265E-2</v>
      </c>
      <c r="AF6" s="317">
        <f>T8/$L$11</f>
        <v>3.2088281907296169E-3</v>
      </c>
      <c r="AG6" s="317">
        <f>V8/$L$11</f>
        <v>6.2611281770333989E-4</v>
      </c>
      <c r="AH6" s="317">
        <f>X8/$L$11</f>
        <v>5.8698076659688118E-5</v>
      </c>
      <c r="AI6" s="357">
        <f t="shared" si="0"/>
        <v>0.20033653563951553</v>
      </c>
      <c r="AL6" s="360"/>
      <c r="AM6" s="361" t="s">
        <v>13</v>
      </c>
      <c r="AN6" s="361">
        <v>72</v>
      </c>
      <c r="AO6" s="361">
        <v>391.1</v>
      </c>
      <c r="AP6" s="361">
        <v>101</v>
      </c>
      <c r="AQ6" s="361">
        <v>393</v>
      </c>
      <c r="AR6" s="361">
        <v>19</v>
      </c>
      <c r="AS6">
        <v>399.2</v>
      </c>
      <c r="AT6" s="361" t="s">
        <v>222</v>
      </c>
      <c r="AU6" s="361" t="s">
        <v>222</v>
      </c>
      <c r="AV6" s="361" t="s">
        <v>222</v>
      </c>
      <c r="AW6" s="361" t="s">
        <v>222</v>
      </c>
      <c r="AX6" s="361" t="s">
        <v>222</v>
      </c>
      <c r="AY6" s="361" t="s">
        <v>222</v>
      </c>
      <c r="AZ6" s="361" t="s">
        <v>222</v>
      </c>
      <c r="BA6" t="s">
        <v>222</v>
      </c>
    </row>
    <row r="7" spans="1:53" ht="14.25" customHeight="1" thickBot="1" x14ac:dyDescent="0.3">
      <c r="A7" t="s">
        <v>90</v>
      </c>
      <c r="B7">
        <f>Lamb!C9</f>
        <v>20</v>
      </c>
      <c r="K7" t="s">
        <v>11</v>
      </c>
      <c r="L7">
        <v>543</v>
      </c>
      <c r="M7">
        <v>497.7</v>
      </c>
      <c r="N7">
        <v>6382</v>
      </c>
      <c r="O7">
        <v>513.79999999999995</v>
      </c>
      <c r="P7">
        <v>16637</v>
      </c>
      <c r="Q7">
        <v>516</v>
      </c>
      <c r="R7">
        <v>5909</v>
      </c>
      <c r="S7">
        <v>510.5</v>
      </c>
      <c r="T7">
        <v>1105</v>
      </c>
      <c r="U7">
        <v>496.1</v>
      </c>
      <c r="V7">
        <v>159</v>
      </c>
      <c r="W7">
        <v>471.5</v>
      </c>
      <c r="X7">
        <v>38</v>
      </c>
      <c r="Y7">
        <v>436.8</v>
      </c>
      <c r="AA7" s="324" t="s">
        <v>13</v>
      </c>
      <c r="AB7" s="317">
        <f>L9/$L$11</f>
        <v>1.4087538398325147E-3</v>
      </c>
      <c r="AC7" s="317">
        <f>N9/$L$11</f>
        <v>1.9761685808761665E-3</v>
      </c>
      <c r="AD7" s="317">
        <f>P9/$L$11</f>
        <v>3.7175448551135808E-4</v>
      </c>
      <c r="AE7" s="317" t="e">
        <f>R9/$L$11</f>
        <v>#VALUE!</v>
      </c>
      <c r="AF7" s="317" t="e">
        <f>T9/$L$11</f>
        <v>#VALUE!</v>
      </c>
      <c r="AG7" s="317" t="e">
        <f>V9/$L$11</f>
        <v>#VALUE!</v>
      </c>
      <c r="AH7" s="317" t="e">
        <f>X9/$L$11</f>
        <v>#VALUE!</v>
      </c>
      <c r="AM7" t="s">
        <v>224</v>
      </c>
      <c r="AN7" s="361"/>
    </row>
    <row r="8" spans="1:53" ht="14.25" customHeight="1" x14ac:dyDescent="0.25">
      <c r="A8" t="s">
        <v>93</v>
      </c>
      <c r="B8">
        <v>0</v>
      </c>
      <c r="D8" s="49">
        <v>0.05</v>
      </c>
      <c r="K8" t="s">
        <v>12</v>
      </c>
      <c r="L8">
        <v>661</v>
      </c>
      <c r="M8">
        <v>456</v>
      </c>
      <c r="N8">
        <v>3660</v>
      </c>
      <c r="O8">
        <v>493.9</v>
      </c>
      <c r="P8">
        <v>4532</v>
      </c>
      <c r="Q8">
        <v>503.4</v>
      </c>
      <c r="R8">
        <v>1187</v>
      </c>
      <c r="S8">
        <v>499.2</v>
      </c>
      <c r="T8">
        <v>164</v>
      </c>
      <c r="U8">
        <v>496.6</v>
      </c>
      <c r="V8">
        <v>32</v>
      </c>
      <c r="W8">
        <v>475</v>
      </c>
      <c r="X8">
        <v>3</v>
      </c>
      <c r="Y8">
        <v>440</v>
      </c>
      <c r="AI8" s="48">
        <f>SUM(AI3:AI7)</f>
        <v>0.99624332309377972</v>
      </c>
      <c r="AM8" t="s">
        <v>227</v>
      </c>
    </row>
    <row r="9" spans="1:53" ht="14.25" customHeight="1" x14ac:dyDescent="0.25">
      <c r="A9" t="s">
        <v>16</v>
      </c>
      <c r="B9" s="6">
        <f>B7-B8</f>
        <v>20</v>
      </c>
      <c r="D9" s="6">
        <f>B7-(B7*D8)</f>
        <v>19</v>
      </c>
      <c r="E9" s="1">
        <f>Lamb!C9</f>
        <v>20</v>
      </c>
      <c r="F9" s="196">
        <f>Lamb!C9</f>
        <v>20</v>
      </c>
      <c r="K9" t="s">
        <v>13</v>
      </c>
      <c r="L9">
        <v>72</v>
      </c>
      <c r="M9">
        <v>391.1</v>
      </c>
      <c r="N9">
        <v>101</v>
      </c>
      <c r="O9">
        <v>393</v>
      </c>
      <c r="P9">
        <v>19</v>
      </c>
      <c r="Q9">
        <v>399.2</v>
      </c>
      <c r="R9" t="s">
        <v>222</v>
      </c>
      <c r="S9" t="s">
        <v>222</v>
      </c>
      <c r="T9" t="s">
        <v>222</v>
      </c>
      <c r="U9" t="s">
        <v>222</v>
      </c>
      <c r="V9" t="s">
        <v>222</v>
      </c>
      <c r="W9" t="s">
        <v>222</v>
      </c>
      <c r="X9" t="s">
        <v>222</v>
      </c>
      <c r="Y9" t="s">
        <v>222</v>
      </c>
      <c r="AI9" t="s">
        <v>217</v>
      </c>
      <c r="AM9">
        <v>4448</v>
      </c>
    </row>
    <row r="10" spans="1:53" x14ac:dyDescent="0.25">
      <c r="B10" t="s">
        <v>15</v>
      </c>
      <c r="C10" s="11" t="s">
        <v>20</v>
      </c>
      <c r="D10" s="11" t="s">
        <v>78</v>
      </c>
      <c r="E10" s="1" t="s">
        <v>42</v>
      </c>
      <c r="F10" s="197" t="s">
        <v>164</v>
      </c>
      <c r="L10" s="361"/>
      <c r="M10" s="361"/>
      <c r="AA10" s="359" t="s">
        <v>219</v>
      </c>
      <c r="AM10">
        <v>511.2</v>
      </c>
    </row>
    <row r="11" spans="1:53" ht="14.25" customHeight="1" x14ac:dyDescent="0.25">
      <c r="A11" t="s">
        <v>82</v>
      </c>
      <c r="B11">
        <f>VLOOKUP(Lamb!C12,'Lamb Data'!H26:O31,MATCH(Lamb!D12,'Lamb Data'!H26:O26,0),0)</f>
        <v>385</v>
      </c>
      <c r="C11">
        <f>VLOOKUP(Lamb!C12,'Lamb Data'!H18:O23, MATCH(Lamb!D12,'Lamb Data'!H18:O18,0),0)</f>
        <v>516</v>
      </c>
      <c r="D11">
        <f>VLOOKUP(Lamb!C12,H50:O55, MATCH(Lamb!D12,H50:O50,0),0)</f>
        <v>515</v>
      </c>
      <c r="E11" s="1">
        <f>Lamb!C10</f>
        <v>0</v>
      </c>
      <c r="F11" s="196">
        <f>D11</f>
        <v>515</v>
      </c>
      <c r="K11" s="372" t="s">
        <v>223</v>
      </c>
      <c r="L11" s="367">
        <v>51109</v>
      </c>
      <c r="R11" s="2"/>
      <c r="S11" s="46">
        <v>2</v>
      </c>
      <c r="T11" s="46" t="s">
        <v>5</v>
      </c>
      <c r="U11" s="46" t="s">
        <v>6</v>
      </c>
      <c r="AA11" s="322" t="s">
        <v>218</v>
      </c>
      <c r="AB11" s="315">
        <v>1</v>
      </c>
      <c r="AC11" s="315">
        <v>2</v>
      </c>
      <c r="AD11" s="315" t="s">
        <v>5</v>
      </c>
      <c r="AE11" s="315" t="s">
        <v>6</v>
      </c>
      <c r="AF11" s="315" t="s">
        <v>7</v>
      </c>
      <c r="AG11" s="315" t="s">
        <v>8</v>
      </c>
      <c r="AH11" s="323">
        <v>5</v>
      </c>
      <c r="AM11" t="s">
        <v>228</v>
      </c>
    </row>
    <row r="12" spans="1:53" ht="14.25" customHeight="1" x14ac:dyDescent="0.25">
      <c r="A12" t="s">
        <v>83</v>
      </c>
      <c r="B12">
        <f>IF(Lamb!C9&lt;'Lamb Data'!B49,"Realisation",IF(Lamb!C9&lt;'Lamb Data'!B48,"Realisation",IF(Lamb!C9&lt;'Lamb Data'!B47,'Lamb Data'!B11-'Lamb Data'!C47,'Lamb Data'!B11)))</f>
        <v>385</v>
      </c>
      <c r="C12">
        <f>C11</f>
        <v>516</v>
      </c>
      <c r="D12">
        <f>IF(D9&lt;B53,"Price quoted Daily",IF(D9&gt;B52,D11,D11))</f>
        <v>515</v>
      </c>
      <c r="E12" s="191">
        <f>Lamb!F25</f>
        <v>0</v>
      </c>
      <c r="F12" s="196">
        <f>D12</f>
        <v>515</v>
      </c>
      <c r="K12" s="366" t="s">
        <v>18</v>
      </c>
      <c r="L12" s="371">
        <v>511.2</v>
      </c>
      <c r="N12" s="1">
        <f>SUM(N5:N9)</f>
        <v>11828</v>
      </c>
      <c r="P12" s="1">
        <f>SUM(P5:P9)</f>
        <v>26947</v>
      </c>
      <c r="R12" s="46" t="s">
        <v>9</v>
      </c>
      <c r="S12" s="2"/>
      <c r="T12" s="2"/>
      <c r="U12" s="310">
        <f>S5</f>
        <v>515.79999999999995</v>
      </c>
      <c r="AA12" s="322" t="s">
        <v>9</v>
      </c>
      <c r="AB12" s="358">
        <f>M5-$L$12</f>
        <v>5.8000000000000114</v>
      </c>
      <c r="AC12" s="358">
        <f>O5-$L$12</f>
        <v>17.099999999999966</v>
      </c>
      <c r="AD12" s="358">
        <f>Q5-$L$12</f>
        <v>19.199999999999989</v>
      </c>
      <c r="AE12" s="358">
        <f>S5-$L$12</f>
        <v>4.5999999999999659</v>
      </c>
      <c r="AF12" s="358">
        <f>U5-$L$12</f>
        <v>-14.899999999999977</v>
      </c>
      <c r="AG12" s="358">
        <f>W5-$L$12</f>
        <v>-61.199999999999989</v>
      </c>
      <c r="AH12" s="358">
        <f>Y5-$L$12</f>
        <v>-53.699999999999989</v>
      </c>
      <c r="AK12" s="361" t="s">
        <v>224</v>
      </c>
    </row>
    <row r="13" spans="1:53" x14ac:dyDescent="0.25">
      <c r="A13" t="s">
        <v>84</v>
      </c>
      <c r="B13" s="14">
        <f>IF(Lamb!C9&gt;'Lamb Data'!B46,'Lamb Data'!B11*'Lamb Data'!B46/100,IF(Lamb!C9&lt;'Lamb Data'!B49,"Realisation",IF(Lamb!C9&lt;'Lamb Data'!B48,"Realisation",IF(Lamb!C9&lt;'Lamb Data'!B47,('Lamb Data'!B11-'Lamb Data'!C47)*Lamb!C9/100,Lamb!C9*'Lamb Data'!B11/100))))</f>
        <v>77</v>
      </c>
      <c r="C13" s="14">
        <f>IF(B7&gt;B52,C12*B52/100,C12*B7/100)</f>
        <v>103.2</v>
      </c>
      <c r="D13" s="14">
        <f>IF(D9&lt;B53,"Daily Price applied",IF(D9&gt;B52,B52*D12/100,D9*D12/100))</f>
        <v>97.85</v>
      </c>
      <c r="E13" s="192">
        <f>E12*B7/100</f>
        <v>0</v>
      </c>
      <c r="F13" s="198">
        <f>IF(D9&lt;B53,"Daily Price applied",IF(D9&gt;B52,B52*D12/100,B7*D12/100))</f>
        <v>103</v>
      </c>
      <c r="N13" s="364">
        <f>N12/(N12+P12)</f>
        <v>0.30504190844616375</v>
      </c>
      <c r="O13" s="365" t="s">
        <v>221</v>
      </c>
      <c r="R13" s="46" t="s">
        <v>10</v>
      </c>
      <c r="S13" s="2"/>
      <c r="T13" s="2"/>
      <c r="U13" s="310">
        <f>S6</f>
        <v>516.5</v>
      </c>
      <c r="AA13" s="322" t="s">
        <v>10</v>
      </c>
      <c r="AB13" s="358">
        <f>M6-$L$12</f>
        <v>2.1999999999999886</v>
      </c>
      <c r="AC13" s="358">
        <f>O6-$L$12</f>
        <v>13.500000000000057</v>
      </c>
      <c r="AD13" s="358">
        <f>Q6-$L$12</f>
        <v>15.099999999999966</v>
      </c>
      <c r="AE13" s="358">
        <f>S6-$L$12</f>
        <v>5.3000000000000114</v>
      </c>
      <c r="AF13" s="358">
        <f>U6-$L$12</f>
        <v>-17.899999999999977</v>
      </c>
      <c r="AG13" s="358">
        <f>W6-$L$12</f>
        <v>-43.699999999999989</v>
      </c>
      <c r="AH13" s="358">
        <f>Y6-$L$12</f>
        <v>-75.5</v>
      </c>
      <c r="AK13" t="s">
        <v>225</v>
      </c>
    </row>
    <row r="14" spans="1:53" x14ac:dyDescent="0.25">
      <c r="A14" t="s">
        <v>85</v>
      </c>
      <c r="B14" s="14">
        <f>IF(B7&gt;B48,B13/B7,B13)</f>
        <v>3.85</v>
      </c>
      <c r="C14" s="14">
        <f>C13/$B$9</f>
        <v>5.16</v>
      </c>
      <c r="D14" s="14">
        <f>IF(B7&lt;B53,D13,D13/D9)</f>
        <v>5.1499999999999995</v>
      </c>
      <c r="E14" s="192">
        <f>E13/E9</f>
        <v>0</v>
      </c>
      <c r="F14" s="198">
        <f>IF(B7&lt;B53,F13,F13/F9)</f>
        <v>5.15</v>
      </c>
      <c r="N14" s="364">
        <f>(N12+L5+L6+L7+L8+L9)/L11</f>
        <v>0.25784108474045669</v>
      </c>
      <c r="O14" s="365" t="s">
        <v>220</v>
      </c>
      <c r="R14" s="46" t="s">
        <v>11</v>
      </c>
      <c r="S14" s="310">
        <f>O7</f>
        <v>513.79999999999995</v>
      </c>
      <c r="T14" s="310">
        <f>Q7</f>
        <v>516</v>
      </c>
      <c r="U14" s="2"/>
      <c r="AA14" s="322" t="s">
        <v>11</v>
      </c>
      <c r="AB14" s="358">
        <f>M7-$L$12</f>
        <v>-13.5</v>
      </c>
      <c r="AC14" s="358">
        <f>O7-$L$12</f>
        <v>2.5999999999999659</v>
      </c>
      <c r="AD14" s="358">
        <f>Q7-$L$12</f>
        <v>4.8000000000000114</v>
      </c>
      <c r="AE14" s="358">
        <f>S7-$L$12</f>
        <v>-0.69999999999998863</v>
      </c>
      <c r="AF14" s="358">
        <f>U7-$L$12</f>
        <v>-15.099999999999966</v>
      </c>
      <c r="AG14" s="358">
        <f>W7-$L$12</f>
        <v>-39.699999999999989</v>
      </c>
      <c r="AH14" s="358">
        <f>Y7-$L$12</f>
        <v>-74.399999999999977</v>
      </c>
      <c r="AK14">
        <v>3173</v>
      </c>
    </row>
    <row r="15" spans="1:53" x14ac:dyDescent="0.25">
      <c r="A15" t="s">
        <v>86</v>
      </c>
      <c r="B15" s="14">
        <f>IF(B7&lt;B48,B14,(B14-((B37/100)/B7)))</f>
        <v>3.7629999999999999</v>
      </c>
      <c r="C15" s="14">
        <f>C14-((C37/100)/$B$9)</f>
        <v>5.016</v>
      </c>
      <c r="D15" s="14">
        <f>IF(D9&lt;B53,D13,D14-((D37/100)/D9))</f>
        <v>5.0247368421052627</v>
      </c>
      <c r="E15" s="192">
        <f>E14-((E37/100)/E9)</f>
        <v>0</v>
      </c>
      <c r="F15" s="198">
        <f>IF(D9&lt;B53,F13,F14-((F37/100)/F9))</f>
        <v>4.7735000000000003</v>
      </c>
      <c r="AA15" s="322" t="s">
        <v>12</v>
      </c>
      <c r="AB15" s="358">
        <f>M8-$L$12</f>
        <v>-55.199999999999989</v>
      </c>
      <c r="AC15" s="358">
        <f>O8-$L$12</f>
        <v>-17.300000000000011</v>
      </c>
      <c r="AD15" s="358">
        <f>Q8-$L$12</f>
        <v>-7.8000000000000114</v>
      </c>
      <c r="AE15" s="358">
        <f>S8-$L$12</f>
        <v>-12</v>
      </c>
      <c r="AF15" s="358">
        <f>U8-$L$12</f>
        <v>-14.599999999999966</v>
      </c>
      <c r="AG15" s="358">
        <f>W8-$L$12</f>
        <v>-36.199999999999989</v>
      </c>
      <c r="AH15" s="358">
        <f>Y8-$L$12</f>
        <v>-71.199999999999989</v>
      </c>
      <c r="AK15">
        <v>486.3</v>
      </c>
    </row>
    <row r="16" spans="1:53" ht="14.4" thickBot="1" x14ac:dyDescent="0.3">
      <c r="A16" t="s">
        <v>96</v>
      </c>
      <c r="B16" s="14">
        <f>IF(B7&gt;21,0,B13-((B7-B8)*B12)/100)</f>
        <v>0</v>
      </c>
      <c r="E16" s="1"/>
      <c r="F16" s="196"/>
      <c r="H16" s="2" t="s">
        <v>14</v>
      </c>
      <c r="I16" s="2"/>
      <c r="J16" s="2"/>
      <c r="K16" s="2"/>
      <c r="L16" s="2"/>
      <c r="M16" s="2"/>
      <c r="N16" s="2"/>
      <c r="O16" s="2"/>
      <c r="AA16" s="324" t="s">
        <v>13</v>
      </c>
      <c r="AB16" s="358">
        <f>M9-$L$12</f>
        <v>-120.09999999999997</v>
      </c>
      <c r="AC16" s="358">
        <f>O9-$L$12</f>
        <v>-118.19999999999999</v>
      </c>
      <c r="AD16" s="358">
        <f>Q9-$L$12</f>
        <v>-112</v>
      </c>
      <c r="AE16" s="358" t="e">
        <f>S9-$L$12</f>
        <v>#VALUE!</v>
      </c>
      <c r="AF16" s="358" t="e">
        <f>U9-$L$12</f>
        <v>#VALUE!</v>
      </c>
      <c r="AG16" s="358" t="e">
        <f>W9-$L$12</f>
        <v>#VALUE!</v>
      </c>
      <c r="AH16" s="358" t="e">
        <f>Y9-$L$12</f>
        <v>#VALUE!</v>
      </c>
      <c r="AK16" t="s">
        <v>226</v>
      </c>
    </row>
    <row r="17" spans="1:24" x14ac:dyDescent="0.25">
      <c r="B17" s="14"/>
      <c r="E17" s="1"/>
      <c r="F17" s="196"/>
      <c r="H17" s="2"/>
      <c r="I17" s="2"/>
      <c r="J17" s="2"/>
      <c r="K17" s="2"/>
      <c r="L17" s="2"/>
      <c r="M17" s="2"/>
      <c r="N17" s="2"/>
      <c r="O17" s="2"/>
    </row>
    <row r="18" spans="1:24" x14ac:dyDescent="0.25">
      <c r="A18" s="74" t="s">
        <v>88</v>
      </c>
      <c r="B18" s="75">
        <f>(B13-(B37/100))-B16</f>
        <v>75.260000000000005</v>
      </c>
      <c r="C18" s="75">
        <f>C13-(C37/100)</f>
        <v>100.32000000000001</v>
      </c>
      <c r="D18" s="75">
        <f>D13-(D37/100)</f>
        <v>95.47</v>
      </c>
      <c r="E18" s="193">
        <f>E13-(E37/100)</f>
        <v>0</v>
      </c>
      <c r="F18" s="199">
        <f>F13-(F37/100)</f>
        <v>95.47</v>
      </c>
      <c r="H18" s="46" t="s">
        <v>20</v>
      </c>
      <c r="I18" s="3">
        <v>1</v>
      </c>
      <c r="J18" s="3">
        <v>2</v>
      </c>
      <c r="K18" s="3" t="s">
        <v>5</v>
      </c>
      <c r="L18" s="42" t="s">
        <v>6</v>
      </c>
      <c r="M18" s="3" t="s">
        <v>7</v>
      </c>
      <c r="N18" s="3" t="s">
        <v>8</v>
      </c>
      <c r="O18" s="3">
        <v>5</v>
      </c>
    </row>
    <row r="19" spans="1:24" x14ac:dyDescent="0.25">
      <c r="E19" s="1"/>
      <c r="F19" s="196"/>
      <c r="H19" s="46" t="s">
        <v>9</v>
      </c>
      <c r="I19" s="2">
        <f>M5</f>
        <v>517</v>
      </c>
      <c r="J19" s="2">
        <f>O5</f>
        <v>528.29999999999995</v>
      </c>
      <c r="K19" s="2">
        <f>Q5</f>
        <v>530.4</v>
      </c>
      <c r="L19" s="2">
        <f>S5</f>
        <v>515.79999999999995</v>
      </c>
      <c r="M19" s="2">
        <f>U5</f>
        <v>496.3</v>
      </c>
      <c r="N19" s="2">
        <f>W5</f>
        <v>450</v>
      </c>
      <c r="O19" s="2">
        <f>Y5</f>
        <v>457.5</v>
      </c>
    </row>
    <row r="20" spans="1:24" x14ac:dyDescent="0.25">
      <c r="A20" s="76" t="s">
        <v>139</v>
      </c>
      <c r="B20" s="74"/>
      <c r="C20" s="75">
        <f>D20</f>
        <v>11.843333333333334</v>
      </c>
      <c r="D20" s="75">
        <f>'Lamb export'!H34</f>
        <v>11.843333333333334</v>
      </c>
      <c r="E20" s="193">
        <f>'Lamb export'!J34</f>
        <v>11.843333333333334</v>
      </c>
      <c r="F20" s="198">
        <f>E20</f>
        <v>11.843333333333334</v>
      </c>
      <c r="G20" s="12"/>
      <c r="H20" s="46" t="s">
        <v>10</v>
      </c>
      <c r="I20" s="2">
        <f>M6</f>
        <v>513.4</v>
      </c>
      <c r="J20" s="2">
        <f>O6</f>
        <v>524.70000000000005</v>
      </c>
      <c r="K20" s="2">
        <f>Q6</f>
        <v>526.29999999999995</v>
      </c>
      <c r="L20" s="2">
        <f>S6</f>
        <v>516.5</v>
      </c>
      <c r="M20" s="2">
        <f>U6</f>
        <v>493.3</v>
      </c>
      <c r="N20" s="2">
        <f>W6</f>
        <v>467.5</v>
      </c>
      <c r="O20" s="2">
        <f>Y6</f>
        <v>435.7</v>
      </c>
      <c r="R20" s="2"/>
      <c r="S20" s="46">
        <v>2</v>
      </c>
      <c r="T20" s="46" t="s">
        <v>5</v>
      </c>
      <c r="U20" s="46" t="s">
        <v>6</v>
      </c>
    </row>
    <row r="21" spans="1:24" x14ac:dyDescent="0.25">
      <c r="A21" s="66" t="s">
        <v>190</v>
      </c>
      <c r="B21">
        <f>B32/100</f>
        <v>1.4</v>
      </c>
      <c r="E21" s="1"/>
      <c r="F21" s="196"/>
      <c r="H21" s="46" t="s">
        <v>11</v>
      </c>
      <c r="I21" s="2">
        <f>M7</f>
        <v>497.7</v>
      </c>
      <c r="J21" s="2">
        <f>O7</f>
        <v>513.79999999999995</v>
      </c>
      <c r="K21" s="2">
        <f>Q7</f>
        <v>516</v>
      </c>
      <c r="L21" s="2">
        <f>S7</f>
        <v>510.5</v>
      </c>
      <c r="M21" s="2">
        <f>U7</f>
        <v>496.1</v>
      </c>
      <c r="N21" s="2">
        <f>W7</f>
        <v>471.5</v>
      </c>
      <c r="O21" s="2">
        <f>Y7</f>
        <v>436.8</v>
      </c>
      <c r="R21" s="46" t="s">
        <v>9</v>
      </c>
      <c r="S21" s="2"/>
      <c r="T21" s="2"/>
      <c r="U21" s="310"/>
    </row>
    <row r="22" spans="1:24" x14ac:dyDescent="0.25">
      <c r="A22" s="66" t="s">
        <v>140</v>
      </c>
      <c r="B22" s="77">
        <f>B18-B21</f>
        <v>73.86</v>
      </c>
      <c r="C22" s="77">
        <f>C18-C20</f>
        <v>88.476666666666674</v>
      </c>
      <c r="D22" s="77">
        <f>D18-D20</f>
        <v>83.626666666666665</v>
      </c>
      <c r="E22" s="194">
        <f>E18-E20</f>
        <v>-11.843333333333334</v>
      </c>
      <c r="F22" s="200">
        <f>F18-F20</f>
        <v>83.626666666666665</v>
      </c>
      <c r="H22" s="46" t="s">
        <v>12</v>
      </c>
      <c r="I22" s="2">
        <f>M8</f>
        <v>456</v>
      </c>
      <c r="J22" s="2">
        <f>O8</f>
        <v>493.9</v>
      </c>
      <c r="K22" s="2">
        <f>Q8</f>
        <v>503.4</v>
      </c>
      <c r="L22" s="2">
        <f>S8</f>
        <v>499.2</v>
      </c>
      <c r="M22" s="2">
        <f>U8</f>
        <v>496.6</v>
      </c>
      <c r="N22" s="2">
        <f>W8</f>
        <v>475</v>
      </c>
      <c r="O22" s="2">
        <f>Y8</f>
        <v>440</v>
      </c>
      <c r="R22" s="46" t="s">
        <v>10</v>
      </c>
      <c r="S22" s="2"/>
      <c r="T22" s="2"/>
      <c r="U22" s="310"/>
    </row>
    <row r="23" spans="1:24" x14ac:dyDescent="0.25">
      <c r="E23" s="1"/>
      <c r="F23" s="196"/>
      <c r="H23" s="46" t="s">
        <v>13</v>
      </c>
      <c r="I23" s="2">
        <f>M9</f>
        <v>391.1</v>
      </c>
      <c r="J23" s="2">
        <f>O9</f>
        <v>393</v>
      </c>
      <c r="K23" s="2">
        <f>Q9</f>
        <v>399.2</v>
      </c>
      <c r="L23" s="2" t="str">
        <f>S9</f>
        <v>-</v>
      </c>
      <c r="M23" s="2" t="str">
        <f>U9</f>
        <v>-</v>
      </c>
      <c r="N23" s="2" t="str">
        <f>W9</f>
        <v>-</v>
      </c>
      <c r="O23" s="2" t="str">
        <f>Y9</f>
        <v>-</v>
      </c>
      <c r="R23" s="46" t="s">
        <v>11</v>
      </c>
      <c r="S23" s="310"/>
      <c r="T23" s="310"/>
      <c r="U23" s="2"/>
    </row>
    <row r="24" spans="1:24" ht="14.4" thickBot="1" x14ac:dyDescent="0.3">
      <c r="E24" s="1"/>
      <c r="F24" s="196"/>
      <c r="H24" s="21"/>
      <c r="I24" s="5"/>
      <c r="J24" s="5"/>
      <c r="K24" s="5"/>
      <c r="L24" s="5"/>
      <c r="M24" s="5"/>
      <c r="N24" s="5"/>
      <c r="O24" s="5"/>
    </row>
    <row r="25" spans="1:24" x14ac:dyDescent="0.25">
      <c r="E25" s="1"/>
      <c r="F25" s="196"/>
      <c r="H25" s="19" t="s">
        <v>50</v>
      </c>
      <c r="I25">
        <f>B5</f>
        <v>385</v>
      </c>
      <c r="Q25" s="31" t="s">
        <v>216</v>
      </c>
      <c r="R25" s="32"/>
      <c r="S25" s="32"/>
      <c r="T25" s="32"/>
      <c r="U25" s="32"/>
      <c r="V25" s="32"/>
      <c r="W25" s="32"/>
      <c r="X25" s="33"/>
    </row>
    <row r="26" spans="1:24" x14ac:dyDescent="0.25">
      <c r="E26" s="1"/>
      <c r="F26" s="196"/>
      <c r="H26" s="46" t="s">
        <v>15</v>
      </c>
      <c r="I26" s="3">
        <v>1</v>
      </c>
      <c r="J26" s="3">
        <v>2</v>
      </c>
      <c r="K26" s="3" t="s">
        <v>5</v>
      </c>
      <c r="L26" s="42" t="s">
        <v>6</v>
      </c>
      <c r="M26" s="3" t="s">
        <v>7</v>
      </c>
      <c r="N26" s="3" t="s">
        <v>8</v>
      </c>
      <c r="O26" s="335">
        <v>5</v>
      </c>
      <c r="Q26" s="322"/>
      <c r="R26" s="315">
        <v>1</v>
      </c>
      <c r="S26" s="315">
        <v>2</v>
      </c>
      <c r="T26" s="315" t="s">
        <v>5</v>
      </c>
      <c r="U26" s="315" t="s">
        <v>6</v>
      </c>
      <c r="V26" s="315" t="s">
        <v>7</v>
      </c>
      <c r="W26" s="315" t="s">
        <v>8</v>
      </c>
      <c r="X26" s="323">
        <v>5</v>
      </c>
    </row>
    <row r="27" spans="1:24" x14ac:dyDescent="0.25">
      <c r="B27" s="11" t="s">
        <v>15</v>
      </c>
      <c r="C27" s="11" t="s">
        <v>20</v>
      </c>
      <c r="D27" s="11" t="s">
        <v>78</v>
      </c>
      <c r="E27" s="195" t="s">
        <v>42</v>
      </c>
      <c r="F27" s="201" t="s">
        <v>164</v>
      </c>
      <c r="H27" s="46" t="s">
        <v>9</v>
      </c>
      <c r="I27">
        <f>$I$25-55</f>
        <v>330</v>
      </c>
      <c r="J27">
        <f>$I$25+30</f>
        <v>415</v>
      </c>
      <c r="K27" s="1">
        <f>$I$25+45</f>
        <v>430</v>
      </c>
      <c r="L27" s="1">
        <f>$I$25+45</f>
        <v>430</v>
      </c>
      <c r="M27" s="353">
        <f>$I$25</f>
        <v>385</v>
      </c>
      <c r="N27">
        <f>$I$25-120</f>
        <v>265</v>
      </c>
      <c r="O27">
        <f>$I$25-155</f>
        <v>230</v>
      </c>
      <c r="Q27" s="322" t="s">
        <v>9</v>
      </c>
      <c r="R27" s="315">
        <f>M5-I27</f>
        <v>187</v>
      </c>
      <c r="S27" s="315">
        <f>O5-J27</f>
        <v>113.29999999999995</v>
      </c>
      <c r="T27" s="315">
        <f>Q5-K27</f>
        <v>100.39999999999998</v>
      </c>
      <c r="U27" s="315">
        <f>S5-L27</f>
        <v>85.799999999999955</v>
      </c>
      <c r="V27" s="315">
        <f>S5-M27</f>
        <v>130.79999999999995</v>
      </c>
      <c r="W27" s="315">
        <f>W5-N27</f>
        <v>185</v>
      </c>
      <c r="X27" s="323">
        <f>Y5-O27</f>
        <v>227.5</v>
      </c>
    </row>
    <row r="28" spans="1:24" x14ac:dyDescent="0.25">
      <c r="A28" t="s">
        <v>1</v>
      </c>
      <c r="B28">
        <v>0</v>
      </c>
      <c r="C28">
        <v>60</v>
      </c>
      <c r="D28">
        <v>60</v>
      </c>
      <c r="E28" s="1">
        <f>Lamb!C15</f>
        <v>0</v>
      </c>
      <c r="F28" s="196">
        <f>D28</f>
        <v>60</v>
      </c>
      <c r="H28" s="46" t="s">
        <v>10</v>
      </c>
      <c r="I28">
        <f t="shared" ref="I28:I29" si="1">$I$25-55</f>
        <v>330</v>
      </c>
      <c r="J28">
        <f>$I$25+15</f>
        <v>400</v>
      </c>
      <c r="K28" s="1">
        <f>$I$25+30</f>
        <v>415</v>
      </c>
      <c r="L28" s="1">
        <f>$I$25+30</f>
        <v>415</v>
      </c>
      <c r="M28" s="353">
        <f>$I$25</f>
        <v>385</v>
      </c>
      <c r="N28">
        <f t="shared" ref="N28:N30" si="2">$I$25-120</f>
        <v>265</v>
      </c>
      <c r="O28">
        <f t="shared" ref="O28:O30" si="3">$I$25-155</f>
        <v>230</v>
      </c>
      <c r="Q28" s="322" t="s">
        <v>10</v>
      </c>
      <c r="R28" s="315">
        <f>M6-I28</f>
        <v>183.39999999999998</v>
      </c>
      <c r="S28" s="315">
        <f>O6-J28</f>
        <v>124.70000000000005</v>
      </c>
      <c r="T28" s="315">
        <f>Q6-K28</f>
        <v>111.29999999999995</v>
      </c>
      <c r="U28" s="315">
        <f>S6-L28</f>
        <v>101.5</v>
      </c>
      <c r="V28" s="315">
        <f>S6-M28</f>
        <v>131.5</v>
      </c>
      <c r="W28" s="315">
        <f>W6-N28</f>
        <v>202.5</v>
      </c>
      <c r="X28" s="323">
        <f>Y6-O28</f>
        <v>205.7</v>
      </c>
    </row>
    <row r="29" spans="1:24" x14ac:dyDescent="0.25">
      <c r="A29" t="s">
        <v>0</v>
      </c>
      <c r="B29">
        <v>0</v>
      </c>
      <c r="C29">
        <v>0</v>
      </c>
      <c r="D29">
        <v>0</v>
      </c>
      <c r="E29" s="1">
        <f>Lamb!C16</f>
        <v>0</v>
      </c>
      <c r="F29" s="196">
        <f t="shared" ref="F29:F31" si="4">D29</f>
        <v>0</v>
      </c>
      <c r="H29" s="46" t="s">
        <v>11</v>
      </c>
      <c r="I29">
        <f t="shared" si="1"/>
        <v>330</v>
      </c>
      <c r="J29">
        <f>$I$25-25</f>
        <v>360</v>
      </c>
      <c r="K29" s="353">
        <f>$I$25</f>
        <v>385</v>
      </c>
      <c r="L29" s="353">
        <f>$I$25</f>
        <v>385</v>
      </c>
      <c r="M29" s="353">
        <f>$I$25</f>
        <v>385</v>
      </c>
      <c r="N29">
        <f t="shared" si="2"/>
        <v>265</v>
      </c>
      <c r="O29">
        <f t="shared" si="3"/>
        <v>230</v>
      </c>
      <c r="Q29" s="322" t="s">
        <v>11</v>
      </c>
      <c r="R29" s="315">
        <f>M7-I29</f>
        <v>167.7</v>
      </c>
      <c r="S29" s="315">
        <f>O7-J29</f>
        <v>153.79999999999995</v>
      </c>
      <c r="T29" s="315">
        <f>Q7-K29</f>
        <v>131</v>
      </c>
      <c r="U29" s="315">
        <f>S7-L29</f>
        <v>125.5</v>
      </c>
      <c r="V29" s="315">
        <f>S7-M29</f>
        <v>125.5</v>
      </c>
      <c r="W29" s="315">
        <f>W7-N29</f>
        <v>206.5</v>
      </c>
      <c r="X29" s="323">
        <f>Y7-O29</f>
        <v>206.8</v>
      </c>
    </row>
    <row r="30" spans="1:24" x14ac:dyDescent="0.25">
      <c r="A30" t="s">
        <v>2</v>
      </c>
      <c r="B30">
        <v>0</v>
      </c>
      <c r="C30">
        <v>41</v>
      </c>
      <c r="D30">
        <v>41</v>
      </c>
      <c r="E30" s="1">
        <f>Lamb!C17</f>
        <v>0</v>
      </c>
      <c r="F30" s="196">
        <f t="shared" si="4"/>
        <v>41</v>
      </c>
      <c r="H30" s="46" t="s">
        <v>12</v>
      </c>
      <c r="I30">
        <f>$I$25-176</f>
        <v>209</v>
      </c>
      <c r="J30">
        <f>$I$25-60</f>
        <v>325</v>
      </c>
      <c r="K30">
        <f>$I$25-52</f>
        <v>333</v>
      </c>
      <c r="L30">
        <f>$I$25-52</f>
        <v>333</v>
      </c>
      <c r="M30">
        <f>$I$25-60</f>
        <v>325</v>
      </c>
      <c r="N30">
        <f t="shared" si="2"/>
        <v>265</v>
      </c>
      <c r="O30">
        <f t="shared" si="3"/>
        <v>230</v>
      </c>
      <c r="Q30" s="322" t="s">
        <v>12</v>
      </c>
      <c r="R30" s="315">
        <f>M8-I30</f>
        <v>247</v>
      </c>
      <c r="S30" s="315">
        <f>O8-J30</f>
        <v>168.89999999999998</v>
      </c>
      <c r="T30" s="315">
        <f>Q8-K30</f>
        <v>170.39999999999998</v>
      </c>
      <c r="U30" s="315">
        <f>S8-L30</f>
        <v>166.2</v>
      </c>
      <c r="V30" s="315">
        <f>S8-M30</f>
        <v>174.2</v>
      </c>
      <c r="W30" s="315">
        <f>W8-N30</f>
        <v>210</v>
      </c>
      <c r="X30" s="323">
        <f>Y8-O30</f>
        <v>210</v>
      </c>
    </row>
    <row r="31" spans="1:24" ht="14.4" thickBot="1" x14ac:dyDescent="0.3">
      <c r="A31" t="s">
        <v>3</v>
      </c>
      <c r="B31">
        <v>68</v>
      </c>
      <c r="C31">
        <v>52</v>
      </c>
      <c r="D31">
        <v>52</v>
      </c>
      <c r="E31" s="1">
        <f>Lamb!C18</f>
        <v>0</v>
      </c>
      <c r="F31" s="196">
        <f t="shared" si="4"/>
        <v>52</v>
      </c>
      <c r="H31" s="46" t="s">
        <v>13</v>
      </c>
      <c r="I31" s="4" t="s">
        <v>11</v>
      </c>
      <c r="J31" s="4" t="s">
        <v>11</v>
      </c>
      <c r="K31" s="4" t="s">
        <v>11</v>
      </c>
      <c r="L31" s="4" t="s">
        <v>11</v>
      </c>
      <c r="M31" s="4" t="s">
        <v>11</v>
      </c>
      <c r="N31" s="4" t="s">
        <v>11</v>
      </c>
      <c r="O31" s="102" t="s">
        <v>11</v>
      </c>
      <c r="Q31" s="324" t="s">
        <v>13</v>
      </c>
      <c r="R31" s="325"/>
      <c r="S31" s="325"/>
      <c r="T31" s="325"/>
      <c r="U31" s="325"/>
      <c r="V31" s="325"/>
      <c r="W31" s="325"/>
      <c r="X31" s="327"/>
    </row>
    <row r="32" spans="1:24" ht="14.4" thickBot="1" x14ac:dyDescent="0.3">
      <c r="A32" t="s">
        <v>47</v>
      </c>
      <c r="B32">
        <v>140</v>
      </c>
      <c r="E32" s="1">
        <f>Lamb!C19</f>
        <v>0</v>
      </c>
      <c r="F32" s="196">
        <f>D32</f>
        <v>0</v>
      </c>
      <c r="H32" s="5"/>
      <c r="I32" s="12"/>
      <c r="J32" s="12"/>
      <c r="K32" s="12"/>
      <c r="L32" s="12"/>
      <c r="M32" s="12"/>
      <c r="N32" s="12"/>
      <c r="O32" s="12"/>
    </row>
    <row r="33" spans="1:28" x14ac:dyDescent="0.25">
      <c r="A33" t="s">
        <v>166</v>
      </c>
      <c r="B33">
        <v>50</v>
      </c>
      <c r="C33">
        <v>50</v>
      </c>
      <c r="D33">
        <v>0</v>
      </c>
      <c r="E33" s="1">
        <f>Lamb!C20</f>
        <v>0</v>
      </c>
      <c r="F33" s="196">
        <f>Lamb!C20</f>
        <v>0</v>
      </c>
      <c r="H33" s="20" t="s">
        <v>212</v>
      </c>
      <c r="I33" s="46">
        <v>1</v>
      </c>
      <c r="J33" s="46">
        <v>2</v>
      </c>
      <c r="K33" s="46" t="s">
        <v>5</v>
      </c>
      <c r="L33" s="42" t="s">
        <v>6</v>
      </c>
      <c r="M33" s="46" t="s">
        <v>7</v>
      </c>
      <c r="N33" s="46" t="s">
        <v>8</v>
      </c>
      <c r="O33" s="46">
        <v>5</v>
      </c>
      <c r="Q33" s="337"/>
      <c r="R33" s="338">
        <v>1</v>
      </c>
      <c r="S33" s="338">
        <v>2</v>
      </c>
      <c r="T33" s="338" t="s">
        <v>5</v>
      </c>
      <c r="U33" s="338" t="s">
        <v>6</v>
      </c>
      <c r="V33" s="338" t="s">
        <v>7</v>
      </c>
      <c r="W33" s="338" t="s">
        <v>8</v>
      </c>
      <c r="X33" s="339">
        <v>5</v>
      </c>
      <c r="Z33">
        <v>0.5</v>
      </c>
      <c r="AA33">
        <v>20</v>
      </c>
      <c r="AB33" s="48">
        <f>Z33/AA33</f>
        <v>2.5000000000000001E-2</v>
      </c>
    </row>
    <row r="34" spans="1:28" x14ac:dyDescent="0.25">
      <c r="A34" t="s">
        <v>4</v>
      </c>
      <c r="B34">
        <v>56</v>
      </c>
      <c r="C34">
        <v>85</v>
      </c>
      <c r="D34">
        <v>85</v>
      </c>
      <c r="E34" s="1">
        <f>Lamb!C21</f>
        <v>0</v>
      </c>
      <c r="F34" s="196">
        <f>D34</f>
        <v>85</v>
      </c>
      <c r="H34" s="46" t="s">
        <v>9</v>
      </c>
      <c r="I34">
        <f>I19-I27</f>
        <v>187</v>
      </c>
      <c r="J34">
        <f t="shared" ref="J34:O34" si="5">J19-J27</f>
        <v>113.29999999999995</v>
      </c>
      <c r="K34">
        <f t="shared" si="5"/>
        <v>100.39999999999998</v>
      </c>
      <c r="L34">
        <f t="shared" si="5"/>
        <v>85.799999999999955</v>
      </c>
      <c r="M34">
        <f t="shared" si="5"/>
        <v>111.30000000000001</v>
      </c>
      <c r="N34">
        <f t="shared" si="5"/>
        <v>185</v>
      </c>
      <c r="O34">
        <f t="shared" si="5"/>
        <v>227.5</v>
      </c>
      <c r="Q34" s="50" t="s">
        <v>9</v>
      </c>
      <c r="R34" s="336">
        <f>$B$7*R27/100</f>
        <v>37.4</v>
      </c>
      <c r="S34" s="336">
        <f t="shared" ref="S34:X34" si="6">$B$7*S27/100</f>
        <v>22.659999999999989</v>
      </c>
      <c r="T34" s="336">
        <f t="shared" si="6"/>
        <v>20.079999999999995</v>
      </c>
      <c r="U34" s="336">
        <f t="shared" si="6"/>
        <v>17.159999999999989</v>
      </c>
      <c r="V34" s="336">
        <f t="shared" si="6"/>
        <v>26.159999999999989</v>
      </c>
      <c r="W34" s="336">
        <f t="shared" si="6"/>
        <v>37</v>
      </c>
      <c r="X34" s="340">
        <f t="shared" si="6"/>
        <v>45.5</v>
      </c>
    </row>
    <row r="35" spans="1:28" x14ac:dyDescent="0.25">
      <c r="A35" t="s">
        <v>168</v>
      </c>
      <c r="B35">
        <v>0</v>
      </c>
      <c r="E35" s="1">
        <f>Lamb!C22</f>
        <v>0</v>
      </c>
      <c r="F35" s="196">
        <f>Lamb!C22</f>
        <v>0</v>
      </c>
      <c r="H35" s="46" t="s">
        <v>10</v>
      </c>
      <c r="I35">
        <f t="shared" ref="I35:O37" si="7">I20-I28</f>
        <v>183.39999999999998</v>
      </c>
      <c r="J35">
        <f t="shared" si="7"/>
        <v>124.70000000000005</v>
      </c>
      <c r="K35">
        <f t="shared" si="7"/>
        <v>111.29999999999995</v>
      </c>
      <c r="L35">
        <f t="shared" si="7"/>
        <v>101.5</v>
      </c>
      <c r="M35">
        <f t="shared" si="7"/>
        <v>108.30000000000001</v>
      </c>
      <c r="N35">
        <f t="shared" si="7"/>
        <v>202.5</v>
      </c>
      <c r="O35">
        <f t="shared" si="7"/>
        <v>205.7</v>
      </c>
      <c r="Q35" s="50" t="s">
        <v>10</v>
      </c>
      <c r="R35" s="336">
        <f t="shared" ref="R35:X35" si="8">$B$7*R28/100</f>
        <v>36.679999999999993</v>
      </c>
      <c r="S35" s="336">
        <f t="shared" si="8"/>
        <v>24.940000000000008</v>
      </c>
      <c r="T35" s="336">
        <f t="shared" si="8"/>
        <v>22.259999999999991</v>
      </c>
      <c r="U35" s="336">
        <f t="shared" si="8"/>
        <v>20.3</v>
      </c>
      <c r="V35" s="336">
        <f t="shared" si="8"/>
        <v>26.3</v>
      </c>
      <c r="W35" s="336">
        <f t="shared" si="8"/>
        <v>40.5</v>
      </c>
      <c r="X35" s="340">
        <f t="shared" si="8"/>
        <v>41.14</v>
      </c>
    </row>
    <row r="36" spans="1:28" x14ac:dyDescent="0.25">
      <c r="A36" s="196" t="s">
        <v>163</v>
      </c>
      <c r="B36" s="196"/>
      <c r="C36" s="196"/>
      <c r="D36" s="196"/>
      <c r="E36" s="1"/>
      <c r="F36" s="196">
        <f>IF(B7&gt;21.5,0,((B7*D11)*D8))</f>
        <v>515</v>
      </c>
      <c r="H36" s="46" t="s">
        <v>11</v>
      </c>
      <c r="I36">
        <f t="shared" si="7"/>
        <v>167.7</v>
      </c>
      <c r="J36">
        <f t="shared" si="7"/>
        <v>153.79999999999995</v>
      </c>
      <c r="K36">
        <f t="shared" si="7"/>
        <v>131</v>
      </c>
      <c r="L36">
        <f t="shared" si="7"/>
        <v>125.5</v>
      </c>
      <c r="M36">
        <f t="shared" si="7"/>
        <v>111.10000000000002</v>
      </c>
      <c r="N36">
        <f t="shared" si="7"/>
        <v>206.5</v>
      </c>
      <c r="O36">
        <f t="shared" si="7"/>
        <v>206.8</v>
      </c>
      <c r="Q36" s="50" t="s">
        <v>11</v>
      </c>
      <c r="R36" s="336">
        <f t="shared" ref="R36:X36" si="9">$B$7*R29/100</f>
        <v>33.54</v>
      </c>
      <c r="S36" s="336">
        <f t="shared" si="9"/>
        <v>30.759999999999991</v>
      </c>
      <c r="T36" s="336">
        <f t="shared" si="9"/>
        <v>26.2</v>
      </c>
      <c r="U36" s="336">
        <f t="shared" si="9"/>
        <v>25.1</v>
      </c>
      <c r="V36" s="336">
        <f t="shared" si="9"/>
        <v>25.1</v>
      </c>
      <c r="W36" s="336">
        <f t="shared" si="9"/>
        <v>41.3</v>
      </c>
      <c r="X36" s="340">
        <f t="shared" si="9"/>
        <v>41.36</v>
      </c>
    </row>
    <row r="37" spans="1:28" x14ac:dyDescent="0.25">
      <c r="A37" s="71" t="s">
        <v>30</v>
      </c>
      <c r="B37">
        <f>B31+B33+B34</f>
        <v>174</v>
      </c>
      <c r="C37">
        <f t="shared" ref="C37:F37" si="10">SUM(C28:C36)</f>
        <v>288</v>
      </c>
      <c r="D37">
        <f t="shared" si="10"/>
        <v>238</v>
      </c>
      <c r="E37" s="1">
        <f t="shared" si="10"/>
        <v>0</v>
      </c>
      <c r="F37" s="196">
        <f t="shared" si="10"/>
        <v>753</v>
      </c>
      <c r="H37" s="46" t="s">
        <v>12</v>
      </c>
      <c r="I37">
        <f t="shared" si="7"/>
        <v>247</v>
      </c>
      <c r="J37">
        <f t="shared" si="7"/>
        <v>168.89999999999998</v>
      </c>
      <c r="K37">
        <f t="shared" si="7"/>
        <v>170.39999999999998</v>
      </c>
      <c r="L37">
        <f t="shared" si="7"/>
        <v>166.2</v>
      </c>
      <c r="M37">
        <f t="shared" si="7"/>
        <v>171.60000000000002</v>
      </c>
      <c r="N37">
        <f t="shared" si="7"/>
        <v>210</v>
      </c>
      <c r="O37">
        <f t="shared" si="7"/>
        <v>210</v>
      </c>
      <c r="Q37" s="50" t="s">
        <v>12</v>
      </c>
      <c r="R37" s="336">
        <f t="shared" ref="R37:X37" si="11">$B$7*R30/100</f>
        <v>49.4</v>
      </c>
      <c r="S37" s="336">
        <f t="shared" si="11"/>
        <v>33.779999999999994</v>
      </c>
      <c r="T37" s="336">
        <f t="shared" si="11"/>
        <v>34.08</v>
      </c>
      <c r="U37" s="336">
        <f t="shared" si="11"/>
        <v>33.24</v>
      </c>
      <c r="V37" s="336">
        <f t="shared" si="11"/>
        <v>34.840000000000003</v>
      </c>
      <c r="W37" s="336">
        <f t="shared" si="11"/>
        <v>42</v>
      </c>
      <c r="X37" s="340">
        <f t="shared" si="11"/>
        <v>42</v>
      </c>
    </row>
    <row r="38" spans="1:28" ht="14.4" thickBot="1" x14ac:dyDescent="0.3">
      <c r="A38" s="79" t="s">
        <v>29</v>
      </c>
      <c r="B38" s="6">
        <f>B37/Lamb!C9</f>
        <v>8.6999999999999993</v>
      </c>
      <c r="C38" s="6">
        <f>C37/Lamb!C9</f>
        <v>14.4</v>
      </c>
      <c r="D38" s="6">
        <f>D37/D9</f>
        <v>12.526315789473685</v>
      </c>
      <c r="E38" s="212">
        <f>E37/B7</f>
        <v>0</v>
      </c>
      <c r="F38" s="202">
        <f>F37/D9</f>
        <v>39.631578947368418</v>
      </c>
      <c r="G38" t="s">
        <v>26</v>
      </c>
      <c r="H38" s="46" t="s">
        <v>13</v>
      </c>
      <c r="Q38" s="51" t="s">
        <v>13</v>
      </c>
      <c r="R38" s="341">
        <f t="shared" ref="R38:X38" si="12">$B$7*R31/100</f>
        <v>0</v>
      </c>
      <c r="S38" s="341">
        <f t="shared" si="12"/>
        <v>0</v>
      </c>
      <c r="T38" s="341">
        <f t="shared" si="12"/>
        <v>0</v>
      </c>
      <c r="U38" s="341">
        <f t="shared" si="12"/>
        <v>0</v>
      </c>
      <c r="V38" s="341">
        <f t="shared" si="12"/>
        <v>0</v>
      </c>
      <c r="W38" s="341">
        <f t="shared" si="12"/>
        <v>0</v>
      </c>
      <c r="X38" s="342">
        <f t="shared" si="12"/>
        <v>0</v>
      </c>
    </row>
    <row r="39" spans="1:28" x14ac:dyDescent="0.25">
      <c r="E39" s="1"/>
      <c r="F39" s="196"/>
      <c r="H39" s="19"/>
    </row>
    <row r="40" spans="1:28" x14ac:dyDescent="0.25">
      <c r="A40" t="s">
        <v>34</v>
      </c>
      <c r="B40" s="13" t="s">
        <v>41</v>
      </c>
      <c r="D40" s="189"/>
      <c r="E40" s="1"/>
      <c r="F40" s="196"/>
      <c r="H40" s="19" t="s">
        <v>212</v>
      </c>
      <c r="I40" s="46">
        <v>1</v>
      </c>
      <c r="J40" s="46">
        <v>2</v>
      </c>
      <c r="K40" s="46" t="s">
        <v>5</v>
      </c>
      <c r="L40" s="42" t="s">
        <v>6</v>
      </c>
      <c r="M40" s="46" t="s">
        <v>7</v>
      </c>
      <c r="N40" s="46" t="s">
        <v>8</v>
      </c>
      <c r="O40" s="46">
        <v>5</v>
      </c>
    </row>
    <row r="41" spans="1:28" x14ac:dyDescent="0.25">
      <c r="A41" t="s">
        <v>35</v>
      </c>
      <c r="B41" s="13" t="s">
        <v>36</v>
      </c>
      <c r="E41" s="1"/>
      <c r="H41" s="46" t="s">
        <v>9</v>
      </c>
      <c r="I41" s="314">
        <f t="shared" ref="I41:O44" si="13">I27/I19</f>
        <v>0.63829787234042556</v>
      </c>
      <c r="J41" s="314">
        <f t="shared" si="13"/>
        <v>0.78553851978042788</v>
      </c>
      <c r="K41" s="314">
        <f t="shared" si="13"/>
        <v>0.81070889894419307</v>
      </c>
      <c r="L41" s="314">
        <f t="shared" si="13"/>
        <v>0.83365645599069416</v>
      </c>
      <c r="M41" s="314">
        <f t="shared" si="13"/>
        <v>0.7757404795486601</v>
      </c>
      <c r="N41" s="314">
        <f t="shared" si="13"/>
        <v>0.58888888888888891</v>
      </c>
      <c r="O41" s="314">
        <f t="shared" si="13"/>
        <v>0.50273224043715847</v>
      </c>
      <c r="R41" s="351" t="e">
        <f>L5/#REF!*R34</f>
        <v>#REF!</v>
      </c>
      <c r="S41" t="e">
        <f>L5/#REF!</f>
        <v>#REF!</v>
      </c>
    </row>
    <row r="42" spans="1:28" x14ac:dyDescent="0.25">
      <c r="A42" t="s">
        <v>37</v>
      </c>
      <c r="B42" s="13" t="s">
        <v>38</v>
      </c>
      <c r="D42" s="14"/>
      <c r="E42" s="1"/>
      <c r="H42" s="46" t="s">
        <v>10</v>
      </c>
      <c r="I42" s="314">
        <f t="shared" si="13"/>
        <v>0.64277366575769379</v>
      </c>
      <c r="J42" s="314">
        <f t="shared" si="13"/>
        <v>0.76234038498189438</v>
      </c>
      <c r="K42" s="314">
        <f t="shared" si="13"/>
        <v>0.78852365570967131</v>
      </c>
      <c r="L42" s="314">
        <f t="shared" si="13"/>
        <v>0.80348499515972893</v>
      </c>
      <c r="M42" s="314">
        <f t="shared" si="13"/>
        <v>0.78045813906345018</v>
      </c>
      <c r="N42" s="314">
        <f t="shared" si="13"/>
        <v>0.5668449197860963</v>
      </c>
      <c r="O42" s="314">
        <f t="shared" si="13"/>
        <v>0.52788616020197388</v>
      </c>
      <c r="R42" s="351" t="e">
        <f>L6/#REF!*R35</f>
        <v>#REF!</v>
      </c>
    </row>
    <row r="43" spans="1:28" x14ac:dyDescent="0.25">
      <c r="A43" t="s">
        <v>39</v>
      </c>
      <c r="B43" s="11" t="s">
        <v>40</v>
      </c>
      <c r="E43" s="1"/>
      <c r="H43" s="46" t="s">
        <v>11</v>
      </c>
      <c r="I43" s="314">
        <f t="shared" si="13"/>
        <v>0.66305003013863772</v>
      </c>
      <c r="J43" s="314">
        <f t="shared" si="13"/>
        <v>0.70066173608407945</v>
      </c>
      <c r="K43" s="314">
        <f t="shared" si="13"/>
        <v>0.74612403100775193</v>
      </c>
      <c r="L43" s="314">
        <f t="shared" si="13"/>
        <v>0.75416258570029382</v>
      </c>
      <c r="M43" s="314">
        <f t="shared" si="13"/>
        <v>0.77605321507760527</v>
      </c>
      <c r="N43" s="314">
        <f t="shared" si="13"/>
        <v>0.56203605514316013</v>
      </c>
      <c r="O43" s="314">
        <f t="shared" si="13"/>
        <v>0.52655677655677657</v>
      </c>
      <c r="R43" s="351" t="e">
        <f>L7/#REF!*R36</f>
        <v>#REF!</v>
      </c>
    </row>
    <row r="44" spans="1:28" x14ac:dyDescent="0.25">
      <c r="E44" s="190"/>
      <c r="H44" s="46" t="s">
        <v>12</v>
      </c>
      <c r="I44" s="314">
        <f t="shared" si="13"/>
        <v>0.45833333333333331</v>
      </c>
      <c r="J44" s="314">
        <f t="shared" si="13"/>
        <v>0.65802794087872041</v>
      </c>
      <c r="K44" s="314">
        <f t="shared" si="13"/>
        <v>0.66150178784266989</v>
      </c>
      <c r="L44" s="314">
        <f t="shared" si="13"/>
        <v>0.66706730769230771</v>
      </c>
      <c r="M44" s="314">
        <f t="shared" si="13"/>
        <v>0.65445026178010468</v>
      </c>
      <c r="N44" s="314">
        <f t="shared" si="13"/>
        <v>0.55789473684210522</v>
      </c>
      <c r="O44" s="314">
        <f t="shared" si="13"/>
        <v>0.52272727272727271</v>
      </c>
      <c r="R44" s="351" t="e">
        <f>L8/#REF!*R37</f>
        <v>#REF!</v>
      </c>
    </row>
    <row r="45" spans="1:28" x14ac:dyDescent="0.25">
      <c r="A45" t="s">
        <v>92</v>
      </c>
      <c r="D45">
        <v>6.5</v>
      </c>
      <c r="H45" s="46" t="s">
        <v>13</v>
      </c>
    </row>
    <row r="46" spans="1:28" ht="14.4" thickBot="1" x14ac:dyDescent="0.3">
      <c r="A46" t="s">
        <v>22</v>
      </c>
      <c r="B46">
        <v>22</v>
      </c>
      <c r="D46">
        <v>7</v>
      </c>
    </row>
    <row r="47" spans="1:28" x14ac:dyDescent="0.25">
      <c r="A47" t="s">
        <v>23</v>
      </c>
      <c r="B47">
        <v>14.5</v>
      </c>
      <c r="C47">
        <v>20</v>
      </c>
      <c r="D47">
        <v>7.5</v>
      </c>
      <c r="H47" s="31" t="s">
        <v>53</v>
      </c>
      <c r="I47" s="32"/>
      <c r="J47" s="32"/>
      <c r="K47" s="333"/>
      <c r="L47" s="32"/>
      <c r="M47" s="32"/>
      <c r="N47" s="32"/>
      <c r="O47" s="33"/>
    </row>
    <row r="48" spans="1:28" x14ac:dyDescent="0.25">
      <c r="A48" t="s">
        <v>23</v>
      </c>
      <c r="B48">
        <v>13</v>
      </c>
      <c r="C48">
        <v>35</v>
      </c>
      <c r="D48">
        <v>8</v>
      </c>
      <c r="H48" s="34" t="s">
        <v>52</v>
      </c>
      <c r="I48" s="309">
        <f>IF(K47="Yes",K48,ROUNDDOWN(L48,0))</f>
        <v>515</v>
      </c>
      <c r="K48" s="334">
        <v>350</v>
      </c>
      <c r="L48" s="5">
        <f>(O7+Q7+S5+S6)/4</f>
        <v>515.52499999999998</v>
      </c>
      <c r="M48" s="5"/>
      <c r="N48" s="5"/>
      <c r="O48" s="35"/>
    </row>
    <row r="49" spans="1:15" x14ac:dyDescent="0.25">
      <c r="A49" t="s">
        <v>45</v>
      </c>
      <c r="B49">
        <v>7</v>
      </c>
      <c r="D49">
        <v>8.5</v>
      </c>
      <c r="H49" s="34"/>
      <c r="I49" s="188"/>
      <c r="J49" s="5"/>
      <c r="K49" s="5"/>
      <c r="L49" s="5"/>
      <c r="M49" s="5"/>
      <c r="N49" s="5"/>
      <c r="O49" s="35"/>
    </row>
    <row r="50" spans="1:15" x14ac:dyDescent="0.25">
      <c r="D50">
        <v>9</v>
      </c>
      <c r="H50" s="50"/>
      <c r="I50" s="46">
        <v>1</v>
      </c>
      <c r="J50" s="46">
        <v>2</v>
      </c>
      <c r="K50" s="46" t="s">
        <v>5</v>
      </c>
      <c r="L50" s="46" t="s">
        <v>6</v>
      </c>
      <c r="M50" s="46" t="s">
        <v>7</v>
      </c>
      <c r="N50" s="46" t="s">
        <v>8</v>
      </c>
      <c r="O50" s="47">
        <v>5</v>
      </c>
    </row>
    <row r="51" spans="1:15" x14ac:dyDescent="0.25">
      <c r="A51" t="s">
        <v>89</v>
      </c>
      <c r="D51">
        <v>9.5</v>
      </c>
      <c r="H51" s="50" t="s">
        <v>9</v>
      </c>
      <c r="I51" s="46">
        <f>$I$48-30</f>
        <v>485</v>
      </c>
      <c r="J51" s="46">
        <f>$I$48+20</f>
        <v>535</v>
      </c>
      <c r="K51" s="46">
        <f>$I$48+20</f>
        <v>535</v>
      </c>
      <c r="L51" s="46">
        <f>$I$48</f>
        <v>515</v>
      </c>
      <c r="M51" s="46">
        <f>$I$48-15</f>
        <v>500</v>
      </c>
      <c r="N51" s="46">
        <f>$I$48-30</f>
        <v>485</v>
      </c>
      <c r="O51" s="47">
        <f>$I$48-60</f>
        <v>455</v>
      </c>
    </row>
    <row r="52" spans="1:15" x14ac:dyDescent="0.25">
      <c r="A52" t="s">
        <v>22</v>
      </c>
      <c r="B52">
        <v>21</v>
      </c>
      <c r="D52">
        <v>10</v>
      </c>
      <c r="H52" s="50" t="s">
        <v>10</v>
      </c>
      <c r="I52" s="46">
        <f>$I$48-30</f>
        <v>485</v>
      </c>
      <c r="J52" s="46">
        <f>$I$48+10</f>
        <v>525</v>
      </c>
      <c r="K52" s="46">
        <f>$I$48+10</f>
        <v>525</v>
      </c>
      <c r="L52" s="46">
        <f>$I$48</f>
        <v>515</v>
      </c>
      <c r="M52" s="46">
        <f>$I$48-15</f>
        <v>500</v>
      </c>
      <c r="N52" s="46">
        <f>$I$48-30</f>
        <v>485</v>
      </c>
      <c r="O52" s="47">
        <f>$I$48-60</f>
        <v>455</v>
      </c>
    </row>
    <row r="53" spans="1:15" x14ac:dyDescent="0.25">
      <c r="A53" t="s">
        <v>23</v>
      </c>
      <c r="B53">
        <v>15</v>
      </c>
      <c r="D53">
        <v>10.5</v>
      </c>
      <c r="H53" s="50" t="s">
        <v>11</v>
      </c>
      <c r="I53" s="46">
        <f>$I$48-50</f>
        <v>465</v>
      </c>
      <c r="J53" s="46">
        <f>$I$48</f>
        <v>515</v>
      </c>
      <c r="K53" s="46">
        <f>$I$48</f>
        <v>515</v>
      </c>
      <c r="L53" s="46">
        <f>$I$48-4</f>
        <v>511</v>
      </c>
      <c r="M53" s="46">
        <f>$I$48-20</f>
        <v>495</v>
      </c>
      <c r="N53" s="46">
        <f>$I$48-40</f>
        <v>475</v>
      </c>
      <c r="O53" s="47">
        <f>$I$48-60</f>
        <v>455</v>
      </c>
    </row>
    <row r="54" spans="1:15" x14ac:dyDescent="0.25">
      <c r="A54" t="s">
        <v>24</v>
      </c>
      <c r="D54">
        <v>11</v>
      </c>
      <c r="H54" s="50" t="s">
        <v>12</v>
      </c>
      <c r="I54" s="46">
        <f>$I$48-75</f>
        <v>440</v>
      </c>
      <c r="J54" s="46">
        <f>$I$48-10</f>
        <v>505</v>
      </c>
      <c r="K54" s="46">
        <f>$I$48-5</f>
        <v>510</v>
      </c>
      <c r="L54" s="46">
        <f>$I$48-15</f>
        <v>500</v>
      </c>
      <c r="M54" s="46">
        <f>$I$48-50</f>
        <v>465</v>
      </c>
      <c r="N54" s="46">
        <f>$I$48-60</f>
        <v>455</v>
      </c>
      <c r="O54" s="47">
        <f>$I$48-60</f>
        <v>455</v>
      </c>
    </row>
    <row r="55" spans="1:15" x14ac:dyDescent="0.25">
      <c r="A55" t="s">
        <v>23</v>
      </c>
      <c r="D55">
        <v>11.5</v>
      </c>
      <c r="H55" s="50" t="s">
        <v>13</v>
      </c>
      <c r="I55" s="46" t="s">
        <v>11</v>
      </c>
      <c r="J55" s="46" t="s">
        <v>11</v>
      </c>
      <c r="K55" s="46" t="s">
        <v>11</v>
      </c>
      <c r="L55" s="46" t="s">
        <v>11</v>
      </c>
      <c r="M55" s="46" t="s">
        <v>11</v>
      </c>
      <c r="N55" s="46" t="s">
        <v>11</v>
      </c>
      <c r="O55" s="47" t="s">
        <v>11</v>
      </c>
    </row>
    <row r="56" spans="1:15" x14ac:dyDescent="0.25">
      <c r="A56" t="s">
        <v>24</v>
      </c>
      <c r="D56">
        <v>12</v>
      </c>
      <c r="H56" s="34"/>
      <c r="I56" s="5"/>
      <c r="J56" s="5"/>
      <c r="K56" s="5"/>
      <c r="L56" s="5"/>
      <c r="M56" s="5"/>
      <c r="N56" s="5"/>
      <c r="O56" s="35"/>
    </row>
    <row r="57" spans="1:15" x14ac:dyDescent="0.25">
      <c r="A57" t="s">
        <v>45</v>
      </c>
      <c r="D57">
        <v>12.5</v>
      </c>
      <c r="H57" s="50"/>
      <c r="I57" s="46">
        <v>1</v>
      </c>
      <c r="J57" s="46">
        <v>2</v>
      </c>
      <c r="K57" s="46" t="s">
        <v>5</v>
      </c>
      <c r="L57" s="46" t="s">
        <v>6</v>
      </c>
      <c r="M57" s="46" t="s">
        <v>7</v>
      </c>
      <c r="N57" s="46" t="s">
        <v>8</v>
      </c>
      <c r="O57" s="47">
        <v>5</v>
      </c>
    </row>
    <row r="58" spans="1:15" x14ac:dyDescent="0.25">
      <c r="D58">
        <v>13</v>
      </c>
      <c r="H58" s="50" t="s">
        <v>9</v>
      </c>
      <c r="I58" s="46">
        <v>-30</v>
      </c>
      <c r="J58" s="46">
        <v>20</v>
      </c>
      <c r="K58" s="46">
        <v>20</v>
      </c>
      <c r="L58" s="46"/>
      <c r="M58" s="46">
        <v>-15</v>
      </c>
      <c r="N58" s="46">
        <v>-30</v>
      </c>
      <c r="O58" s="47">
        <v>-60</v>
      </c>
    </row>
    <row r="59" spans="1:15" x14ac:dyDescent="0.25">
      <c r="D59">
        <v>13.5</v>
      </c>
      <c r="H59" s="50" t="s">
        <v>10</v>
      </c>
      <c r="I59" s="46">
        <v>-30</v>
      </c>
      <c r="J59" s="46">
        <v>10</v>
      </c>
      <c r="K59" s="46">
        <v>10</v>
      </c>
      <c r="L59" s="46"/>
      <c r="M59" s="46">
        <v>-15</v>
      </c>
      <c r="N59" s="46">
        <v>-30</v>
      </c>
      <c r="O59" s="47">
        <v>-60</v>
      </c>
    </row>
    <row r="60" spans="1:15" x14ac:dyDescent="0.25">
      <c r="D60">
        <v>14</v>
      </c>
      <c r="H60" s="50" t="s">
        <v>11</v>
      </c>
      <c r="I60" s="46">
        <v>-50</v>
      </c>
      <c r="J60" s="46"/>
      <c r="K60" s="46"/>
      <c r="L60" s="46">
        <v>-4</v>
      </c>
      <c r="M60" s="46">
        <v>-20</v>
      </c>
      <c r="N60" s="46">
        <v>-40</v>
      </c>
      <c r="O60" s="47">
        <v>-60</v>
      </c>
    </row>
    <row r="61" spans="1:15" x14ac:dyDescent="0.25">
      <c r="D61">
        <v>14.5</v>
      </c>
      <c r="H61" s="50" t="s">
        <v>12</v>
      </c>
      <c r="I61" s="46">
        <v>-75</v>
      </c>
      <c r="J61" s="46">
        <v>-10</v>
      </c>
      <c r="K61" s="46">
        <v>-5</v>
      </c>
      <c r="L61" s="46">
        <v>-15</v>
      </c>
      <c r="M61" s="20">
        <v>-50</v>
      </c>
      <c r="N61" s="46">
        <v>-60</v>
      </c>
      <c r="O61" s="47">
        <v>-60</v>
      </c>
    </row>
    <row r="62" spans="1:15" ht="14.4" thickBot="1" x14ac:dyDescent="0.3">
      <c r="D62">
        <v>15</v>
      </c>
      <c r="H62" s="51" t="s">
        <v>13</v>
      </c>
      <c r="I62" s="52" t="s">
        <v>11</v>
      </c>
      <c r="J62" s="52" t="s">
        <v>11</v>
      </c>
      <c r="K62" s="52" t="s">
        <v>11</v>
      </c>
      <c r="L62" s="52" t="s">
        <v>11</v>
      </c>
      <c r="M62" s="52" t="s">
        <v>11</v>
      </c>
      <c r="N62" s="52" t="s">
        <v>11</v>
      </c>
      <c r="O62" s="53" t="s">
        <v>11</v>
      </c>
    </row>
    <row r="63" spans="1:15" x14ac:dyDescent="0.25">
      <c r="D63">
        <v>15.5</v>
      </c>
    </row>
    <row r="64" spans="1:15" x14ac:dyDescent="0.25">
      <c r="D64">
        <v>16</v>
      </c>
      <c r="H64" s="328" t="s">
        <v>215</v>
      </c>
    </row>
    <row r="65" spans="4:15" x14ac:dyDescent="0.25">
      <c r="D65">
        <v>16.5</v>
      </c>
      <c r="H65" s="2" t="s">
        <v>15</v>
      </c>
      <c r="I65" s="46">
        <v>1</v>
      </c>
      <c r="J65" s="46">
        <v>2</v>
      </c>
      <c r="K65" s="46" t="s">
        <v>5</v>
      </c>
      <c r="L65" s="42" t="s">
        <v>6</v>
      </c>
      <c r="M65" s="46" t="s">
        <v>7</v>
      </c>
      <c r="N65" s="46" t="s">
        <v>8</v>
      </c>
      <c r="O65" s="46">
        <v>5</v>
      </c>
    </row>
    <row r="66" spans="4:15" x14ac:dyDescent="0.25">
      <c r="D66">
        <v>17</v>
      </c>
      <c r="H66" s="2" t="s">
        <v>9</v>
      </c>
      <c r="I66">
        <f>$I$25-55</f>
        <v>330</v>
      </c>
      <c r="J66">
        <f>$I$25+30</f>
        <v>415</v>
      </c>
      <c r="K66" s="1">
        <f>$I$25+45</f>
        <v>430</v>
      </c>
      <c r="L66" s="1">
        <f>$I$25+45</f>
        <v>430</v>
      </c>
      <c r="M66">
        <f>$I$25</f>
        <v>385</v>
      </c>
      <c r="N66">
        <f>$I$25-130</f>
        <v>255</v>
      </c>
      <c r="O66">
        <f>$I$25-155</f>
        <v>230</v>
      </c>
    </row>
    <row r="67" spans="4:15" x14ac:dyDescent="0.25">
      <c r="D67">
        <v>17.5</v>
      </c>
      <c r="H67" s="2" t="s">
        <v>10</v>
      </c>
      <c r="I67">
        <f t="shared" ref="I67:I68" si="14">$I$25-55</f>
        <v>330</v>
      </c>
      <c r="J67">
        <f>$I$25+15</f>
        <v>400</v>
      </c>
      <c r="K67" s="1">
        <f>$I$25+30</f>
        <v>415</v>
      </c>
      <c r="L67" s="1">
        <f>$I$25+30</f>
        <v>415</v>
      </c>
      <c r="M67">
        <f>$I$25</f>
        <v>385</v>
      </c>
      <c r="N67">
        <f t="shared" ref="N67:N69" si="15">$I$25-130</f>
        <v>255</v>
      </c>
      <c r="O67">
        <f t="shared" ref="O67:O69" si="16">$I$25-155</f>
        <v>230</v>
      </c>
    </row>
    <row r="68" spans="4:15" x14ac:dyDescent="0.25">
      <c r="D68">
        <v>18</v>
      </c>
      <c r="H68" s="2" t="s">
        <v>11</v>
      </c>
      <c r="I68">
        <f t="shared" si="14"/>
        <v>330</v>
      </c>
      <c r="J68">
        <f>$I$25-25</f>
        <v>360</v>
      </c>
      <c r="K68" s="1">
        <f>$I$25</f>
        <v>385</v>
      </c>
      <c r="L68" s="1">
        <f>$I$25</f>
        <v>385</v>
      </c>
      <c r="M68">
        <f>$I$25-20</f>
        <v>365</v>
      </c>
      <c r="N68">
        <f t="shared" si="15"/>
        <v>255</v>
      </c>
      <c r="O68">
        <f t="shared" si="16"/>
        <v>230</v>
      </c>
    </row>
    <row r="69" spans="4:15" x14ac:dyDescent="0.25">
      <c r="D69">
        <v>18.5</v>
      </c>
      <c r="H69" s="2" t="s">
        <v>12</v>
      </c>
      <c r="I69">
        <f>$I$25-176</f>
        <v>209</v>
      </c>
      <c r="J69">
        <f>$I$25-60</f>
        <v>325</v>
      </c>
      <c r="K69">
        <f>$I$25-52</f>
        <v>333</v>
      </c>
      <c r="L69">
        <f>$I$25-52</f>
        <v>333</v>
      </c>
      <c r="M69">
        <f>$I$25-60</f>
        <v>325</v>
      </c>
      <c r="N69">
        <f t="shared" si="15"/>
        <v>255</v>
      </c>
      <c r="O69">
        <f t="shared" si="16"/>
        <v>230</v>
      </c>
    </row>
    <row r="70" spans="4:15" x14ac:dyDescent="0.25">
      <c r="D70">
        <v>19</v>
      </c>
      <c r="H70" s="2" t="s">
        <v>13</v>
      </c>
      <c r="I70" s="4" t="s">
        <v>11</v>
      </c>
      <c r="J70" s="4" t="s">
        <v>11</v>
      </c>
      <c r="K70" s="4" t="s">
        <v>11</v>
      </c>
      <c r="L70" s="4" t="s">
        <v>11</v>
      </c>
      <c r="M70" s="4" t="s">
        <v>11</v>
      </c>
      <c r="N70" s="4" t="s">
        <v>11</v>
      </c>
      <c r="O70" s="4" t="s">
        <v>11</v>
      </c>
    </row>
    <row r="71" spans="4:15" x14ac:dyDescent="0.25">
      <c r="D71">
        <v>19.5</v>
      </c>
    </row>
    <row r="72" spans="4:15" x14ac:dyDescent="0.25">
      <c r="D72">
        <v>20</v>
      </c>
    </row>
    <row r="73" spans="4:15" x14ac:dyDescent="0.25">
      <c r="D73">
        <v>20.5</v>
      </c>
      <c r="H73" s="2" t="s">
        <v>15</v>
      </c>
      <c r="I73" s="46">
        <v>1</v>
      </c>
      <c r="J73" s="46">
        <v>2</v>
      </c>
      <c r="K73" s="46" t="s">
        <v>5</v>
      </c>
      <c r="L73" s="46" t="s">
        <v>6</v>
      </c>
      <c r="M73" s="46" t="s">
        <v>7</v>
      </c>
      <c r="N73" s="46" t="s">
        <v>8</v>
      </c>
      <c r="O73" s="46">
        <v>5</v>
      </c>
    </row>
    <row r="74" spans="4:15" x14ac:dyDescent="0.25">
      <c r="D74">
        <v>21</v>
      </c>
      <c r="H74" s="2" t="s">
        <v>9</v>
      </c>
      <c r="I74" s="329">
        <f t="shared" ref="I74:O74" si="17">I66/$K$68-1</f>
        <v>-0.1428571428571429</v>
      </c>
      <c r="J74" s="330">
        <f t="shared" si="17"/>
        <v>7.7922077922077948E-2</v>
      </c>
      <c r="K74" s="330">
        <f t="shared" si="17"/>
        <v>0.11688311688311681</v>
      </c>
      <c r="L74" s="330">
        <f t="shared" si="17"/>
        <v>0.11688311688311681</v>
      </c>
      <c r="M74" s="330">
        <f t="shared" si="17"/>
        <v>0</v>
      </c>
      <c r="N74" s="329">
        <f t="shared" si="17"/>
        <v>-0.33766233766233766</v>
      </c>
      <c r="O74" s="329">
        <f t="shared" si="17"/>
        <v>-0.40259740259740262</v>
      </c>
    </row>
    <row r="75" spans="4:15" x14ac:dyDescent="0.25">
      <c r="D75">
        <v>21.5</v>
      </c>
      <c r="H75" s="2" t="s">
        <v>10</v>
      </c>
      <c r="I75" s="329">
        <f t="shared" ref="I75:O75" si="18">I67/$K$68-1</f>
        <v>-0.1428571428571429</v>
      </c>
      <c r="J75" s="330">
        <f t="shared" si="18"/>
        <v>3.8961038961038863E-2</v>
      </c>
      <c r="K75" s="330">
        <f t="shared" si="18"/>
        <v>7.7922077922077948E-2</v>
      </c>
      <c r="L75" s="330">
        <f t="shared" si="18"/>
        <v>7.7922077922077948E-2</v>
      </c>
      <c r="M75" s="330">
        <f t="shared" si="18"/>
        <v>0</v>
      </c>
      <c r="N75" s="329">
        <f t="shared" si="18"/>
        <v>-0.33766233766233766</v>
      </c>
      <c r="O75" s="329">
        <f t="shared" si="18"/>
        <v>-0.40259740259740262</v>
      </c>
    </row>
    <row r="76" spans="4:15" x14ac:dyDescent="0.25">
      <c r="D76">
        <v>22</v>
      </c>
      <c r="H76" s="2" t="s">
        <v>11</v>
      </c>
      <c r="I76" s="329">
        <f t="shared" ref="I76:O76" si="19">I68/$K$68-1</f>
        <v>-0.1428571428571429</v>
      </c>
      <c r="J76" s="329">
        <f t="shared" si="19"/>
        <v>-6.4935064935064957E-2</v>
      </c>
      <c r="K76" s="330">
        <f t="shared" si="19"/>
        <v>0</v>
      </c>
      <c r="L76" s="330">
        <f t="shared" si="19"/>
        <v>0</v>
      </c>
      <c r="M76" s="329">
        <f t="shared" si="19"/>
        <v>-5.1948051948051965E-2</v>
      </c>
      <c r="N76" s="329">
        <f t="shared" si="19"/>
        <v>-0.33766233766233766</v>
      </c>
      <c r="O76" s="329">
        <f t="shared" si="19"/>
        <v>-0.40259740259740262</v>
      </c>
    </row>
    <row r="77" spans="4:15" x14ac:dyDescent="0.25">
      <c r="D77">
        <v>22.5</v>
      </c>
      <c r="H77" s="2" t="s">
        <v>12</v>
      </c>
      <c r="I77" s="329">
        <f t="shared" ref="I77:O77" si="20">I69/$K$68-1</f>
        <v>-0.45714285714285718</v>
      </c>
      <c r="J77" s="329">
        <f t="shared" si="20"/>
        <v>-0.1558441558441559</v>
      </c>
      <c r="K77" s="329">
        <f t="shared" si="20"/>
        <v>-0.13506493506493511</v>
      </c>
      <c r="L77" s="329">
        <f t="shared" si="20"/>
        <v>-0.13506493506493511</v>
      </c>
      <c r="M77" s="329">
        <f t="shared" si="20"/>
        <v>-0.1558441558441559</v>
      </c>
      <c r="N77" s="329">
        <f t="shared" si="20"/>
        <v>-0.33766233766233766</v>
      </c>
      <c r="O77" s="329">
        <f t="shared" si="20"/>
        <v>-0.40259740259740262</v>
      </c>
    </row>
    <row r="78" spans="4:15" x14ac:dyDescent="0.25">
      <c r="D78">
        <v>23</v>
      </c>
      <c r="H78" s="2" t="s">
        <v>13</v>
      </c>
      <c r="I78" s="329" t="s">
        <v>11</v>
      </c>
      <c r="J78" s="329" t="s">
        <v>11</v>
      </c>
      <c r="K78" s="329" t="s">
        <v>11</v>
      </c>
      <c r="L78" s="329" t="s">
        <v>11</v>
      </c>
      <c r="M78" s="329" t="s">
        <v>11</v>
      </c>
      <c r="N78" s="329" t="s">
        <v>11</v>
      </c>
      <c r="O78" s="329" t="s">
        <v>11</v>
      </c>
    </row>
    <row r="79" spans="4:15" x14ac:dyDescent="0.25">
      <c r="D79">
        <v>23.5</v>
      </c>
      <c r="H79" s="2"/>
      <c r="I79" s="2"/>
      <c r="J79" s="2"/>
      <c r="K79" s="2"/>
      <c r="L79" s="2"/>
      <c r="M79" s="2"/>
      <c r="N79" s="2"/>
      <c r="O79" s="2"/>
    </row>
    <row r="80" spans="4:15" x14ac:dyDescent="0.25">
      <c r="D80">
        <v>24</v>
      </c>
      <c r="H80" s="2" t="s">
        <v>62</v>
      </c>
      <c r="I80" s="46">
        <v>1</v>
      </c>
      <c r="J80" s="46">
        <v>2</v>
      </c>
      <c r="K80" s="46" t="s">
        <v>5</v>
      </c>
      <c r="L80" s="46" t="s">
        <v>6</v>
      </c>
      <c r="M80" s="46" t="s">
        <v>7</v>
      </c>
      <c r="N80" s="46" t="s">
        <v>8</v>
      </c>
      <c r="O80" s="46">
        <v>5</v>
      </c>
    </row>
    <row r="81" spans="4:15" x14ac:dyDescent="0.25">
      <c r="D81">
        <v>24.5</v>
      </c>
      <c r="H81" s="2" t="s">
        <v>9</v>
      </c>
      <c r="I81" s="329">
        <f t="shared" ref="I81:O84" si="21">I51/$I$48-1</f>
        <v>-5.8252427184465994E-2</v>
      </c>
      <c r="J81" s="330">
        <f t="shared" si="21"/>
        <v>3.8834951456310662E-2</v>
      </c>
      <c r="K81" s="330">
        <f t="shared" si="21"/>
        <v>3.8834951456310662E-2</v>
      </c>
      <c r="L81" s="330">
        <f t="shared" si="21"/>
        <v>0</v>
      </c>
      <c r="M81" s="329">
        <f t="shared" si="21"/>
        <v>-2.9126213592232997E-2</v>
      </c>
      <c r="N81" s="329">
        <f t="shared" si="21"/>
        <v>-5.8252427184465994E-2</v>
      </c>
      <c r="O81" s="329">
        <f t="shared" si="21"/>
        <v>-0.11650485436893199</v>
      </c>
    </row>
    <row r="82" spans="4:15" x14ac:dyDescent="0.25">
      <c r="D82">
        <v>25</v>
      </c>
      <c r="H82" s="2" t="s">
        <v>10</v>
      </c>
      <c r="I82" s="329">
        <f t="shared" si="21"/>
        <v>-5.8252427184465994E-2</v>
      </c>
      <c r="J82" s="330">
        <f t="shared" si="21"/>
        <v>1.9417475728155331E-2</v>
      </c>
      <c r="K82" s="330">
        <f t="shared" si="21"/>
        <v>1.9417475728155331E-2</v>
      </c>
      <c r="L82" s="330">
        <f t="shared" si="21"/>
        <v>0</v>
      </c>
      <c r="M82" s="329">
        <f t="shared" si="21"/>
        <v>-2.9126213592232997E-2</v>
      </c>
      <c r="N82" s="329">
        <f t="shared" si="21"/>
        <v>-5.8252427184465994E-2</v>
      </c>
      <c r="O82" s="329">
        <f t="shared" si="21"/>
        <v>-0.11650485436893199</v>
      </c>
    </row>
    <row r="83" spans="4:15" x14ac:dyDescent="0.25">
      <c r="D83">
        <v>25.5</v>
      </c>
      <c r="H83" s="2" t="s">
        <v>11</v>
      </c>
      <c r="I83" s="329">
        <f t="shared" si="21"/>
        <v>-9.7087378640776656E-2</v>
      </c>
      <c r="J83" s="330">
        <f t="shared" si="21"/>
        <v>0</v>
      </c>
      <c r="K83" s="330">
        <f t="shared" si="21"/>
        <v>0</v>
      </c>
      <c r="L83" s="329">
        <f t="shared" si="21"/>
        <v>-7.7669902912621547E-3</v>
      </c>
      <c r="M83" s="329">
        <f t="shared" si="21"/>
        <v>-3.8834951456310662E-2</v>
      </c>
      <c r="N83" s="329">
        <f t="shared" si="21"/>
        <v>-7.7669902912621325E-2</v>
      </c>
      <c r="O83" s="329">
        <f t="shared" si="21"/>
        <v>-0.11650485436893199</v>
      </c>
    </row>
    <row r="84" spans="4:15" x14ac:dyDescent="0.25">
      <c r="D84">
        <v>26</v>
      </c>
      <c r="H84" s="2" t="s">
        <v>12</v>
      </c>
      <c r="I84" s="329">
        <f t="shared" si="21"/>
        <v>-0.14563106796116509</v>
      </c>
      <c r="J84" s="329">
        <f t="shared" si="21"/>
        <v>-1.9417475728155331E-2</v>
      </c>
      <c r="K84" s="329">
        <f t="shared" si="21"/>
        <v>-9.7087378640776656E-3</v>
      </c>
      <c r="L84" s="329">
        <f t="shared" si="21"/>
        <v>-2.9126213592232997E-2</v>
      </c>
      <c r="M84" s="329">
        <f t="shared" si="21"/>
        <v>-9.7087378640776656E-2</v>
      </c>
      <c r="N84" s="329">
        <f t="shared" si="21"/>
        <v>-0.11650485436893199</v>
      </c>
      <c r="O84" s="329">
        <f t="shared" si="21"/>
        <v>-0.11650485436893199</v>
      </c>
    </row>
    <row r="85" spans="4:15" x14ac:dyDescent="0.25">
      <c r="H85" s="2" t="s">
        <v>13</v>
      </c>
      <c r="I85" s="329" t="s">
        <v>11</v>
      </c>
      <c r="J85" s="329" t="s">
        <v>11</v>
      </c>
      <c r="K85" s="329" t="s">
        <v>11</v>
      </c>
      <c r="L85" s="329" t="s">
        <v>11</v>
      </c>
      <c r="M85" s="329" t="s">
        <v>11</v>
      </c>
      <c r="N85" s="329" t="s">
        <v>11</v>
      </c>
      <c r="O85" s="329" t="s">
        <v>11</v>
      </c>
    </row>
  </sheetData>
  <mergeCells count="8">
    <mergeCell ref="X2:Y2"/>
    <mergeCell ref="V2:W2"/>
    <mergeCell ref="K1:T1"/>
    <mergeCell ref="L2:M2"/>
    <mergeCell ref="N2:O2"/>
    <mergeCell ref="P2:Q2"/>
    <mergeCell ref="R2:S2"/>
    <mergeCell ref="T2:U2"/>
  </mergeCells>
  <hyperlinks>
    <hyperlink ref="K1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O75"/>
  <sheetViews>
    <sheetView workbookViewId="0">
      <selection activeCell="E8" sqref="E8"/>
    </sheetView>
  </sheetViews>
  <sheetFormatPr defaultColWidth="9" defaultRowHeight="13.8" x14ac:dyDescent="0.25"/>
  <cols>
    <col min="1" max="2" width="9" style="62"/>
    <col min="3" max="3" width="9.5" style="62" customWidth="1"/>
    <col min="4" max="6" width="9.19921875" style="62" bestFit="1" customWidth="1"/>
    <col min="7" max="7" width="9" style="62" customWidth="1"/>
    <col min="8" max="8" width="11.09765625" style="62" bestFit="1" customWidth="1"/>
    <col min="9" max="9" width="13" style="62" customWidth="1"/>
    <col min="10" max="10" width="11.09765625" style="62" customWidth="1"/>
    <col min="11" max="16384" width="9" style="62"/>
  </cols>
  <sheetData>
    <row r="1" spans="1:13" ht="14.25" x14ac:dyDescent="0.2">
      <c r="A1" s="87"/>
      <c r="B1" s="117" t="s">
        <v>154</v>
      </c>
      <c r="C1" s="109"/>
      <c r="D1" s="109"/>
      <c r="E1" s="109"/>
      <c r="F1" s="108"/>
      <c r="G1" s="108"/>
      <c r="H1" s="108"/>
      <c r="I1" s="108"/>
      <c r="J1" s="108"/>
      <c r="K1" s="87"/>
    </row>
    <row r="2" spans="1:13" ht="14.25" x14ac:dyDescent="0.2">
      <c r="A2" s="87"/>
      <c r="B2" s="87"/>
      <c r="C2" s="87"/>
      <c r="D2" s="87"/>
      <c r="E2" s="87"/>
      <c r="F2" s="108"/>
      <c r="G2" s="108"/>
      <c r="H2" s="108"/>
      <c r="I2" s="108"/>
      <c r="J2" s="108"/>
      <c r="K2" s="87"/>
    </row>
    <row r="3" spans="1:13" ht="14.25" x14ac:dyDescent="0.2">
      <c r="A3" s="87"/>
      <c r="B3" s="140" t="s">
        <v>150</v>
      </c>
      <c r="C3" s="141"/>
      <c r="D3" s="141"/>
      <c r="E3" s="141"/>
      <c r="F3" s="141"/>
      <c r="G3" s="108"/>
      <c r="H3" s="108"/>
      <c r="I3" s="108"/>
      <c r="J3" s="108"/>
      <c r="K3" s="87"/>
    </row>
    <row r="4" spans="1:13" ht="14.25" x14ac:dyDescent="0.2">
      <c r="A4" s="87"/>
      <c r="B4" s="87"/>
      <c r="C4" s="87"/>
      <c r="D4" s="87"/>
      <c r="E4" s="87"/>
      <c r="F4" s="108"/>
      <c r="G4" s="108"/>
      <c r="H4" s="108"/>
      <c r="I4" s="108"/>
      <c r="J4" s="108"/>
      <c r="K4" s="87"/>
    </row>
    <row r="5" spans="1:13" ht="14.25" x14ac:dyDescent="0.2">
      <c r="A5" s="87"/>
      <c r="B5" s="87"/>
      <c r="C5" s="87"/>
      <c r="D5" s="87"/>
      <c r="E5" s="142" t="s">
        <v>101</v>
      </c>
      <c r="F5" s="108"/>
      <c r="G5" s="108"/>
      <c r="H5" s="108"/>
      <c r="I5" s="108"/>
      <c r="J5" s="108"/>
      <c r="K5" s="87"/>
    </row>
    <row r="6" spans="1:13" ht="14.25" x14ac:dyDescent="0.2">
      <c r="A6" s="87"/>
      <c r="B6" s="390" t="s">
        <v>102</v>
      </c>
      <c r="C6" s="391"/>
      <c r="D6" s="392"/>
      <c r="E6" s="143">
        <v>300</v>
      </c>
      <c r="F6" s="108"/>
      <c r="G6" s="108"/>
      <c r="H6" s="108"/>
      <c r="I6" s="108"/>
      <c r="J6" s="108"/>
      <c r="K6" s="87"/>
    </row>
    <row r="7" spans="1:13" ht="14.25" x14ac:dyDescent="0.2">
      <c r="A7" s="87"/>
      <c r="B7" s="390" t="s">
        <v>103</v>
      </c>
      <c r="C7" s="391"/>
      <c r="D7" s="392"/>
      <c r="E7" s="144">
        <v>1.75</v>
      </c>
      <c r="F7" s="108"/>
      <c r="G7" s="277">
        <f>E7/E9</f>
        <v>3.6842105263157898</v>
      </c>
      <c r="H7" s="278" t="s">
        <v>204</v>
      </c>
      <c r="I7" s="108"/>
      <c r="J7" s="108"/>
      <c r="K7" s="87"/>
    </row>
    <row r="8" spans="1:13" ht="14.25" x14ac:dyDescent="0.2">
      <c r="A8" s="87"/>
      <c r="B8" s="387" t="s">
        <v>200</v>
      </c>
      <c r="C8" s="388"/>
      <c r="D8" s="389"/>
      <c r="E8" s="145">
        <v>38</v>
      </c>
      <c r="F8" s="108"/>
      <c r="G8" s="108"/>
      <c r="H8" s="108"/>
      <c r="I8" s="108"/>
      <c r="J8" s="108"/>
      <c r="K8" s="87"/>
    </row>
    <row r="9" spans="1:13" ht="14.25" x14ac:dyDescent="0.2">
      <c r="A9" s="87"/>
      <c r="B9" s="387" t="s">
        <v>105</v>
      </c>
      <c r="C9" s="388"/>
      <c r="D9" s="389"/>
      <c r="E9" s="146">
        <v>0.47499999999999998</v>
      </c>
      <c r="F9" s="108"/>
      <c r="G9" s="108"/>
      <c r="H9" s="108"/>
      <c r="I9" s="108"/>
      <c r="J9" s="108"/>
      <c r="K9" s="87"/>
      <c r="M9" s="78"/>
    </row>
    <row r="10" spans="1:13" ht="14.25" x14ac:dyDescent="0.2">
      <c r="A10" s="87"/>
      <c r="B10" s="387" t="s">
        <v>106</v>
      </c>
      <c r="C10" s="388"/>
      <c r="D10" s="389"/>
      <c r="E10" s="144">
        <v>60</v>
      </c>
      <c r="F10" s="108"/>
      <c r="G10" s="108"/>
      <c r="H10" s="108"/>
      <c r="I10" s="108"/>
      <c r="J10" s="108"/>
      <c r="K10" s="87"/>
    </row>
    <row r="11" spans="1:13" ht="14.25" x14ac:dyDescent="0.2">
      <c r="A11" s="87"/>
      <c r="B11" s="387" t="s">
        <v>107</v>
      </c>
      <c r="C11" s="388"/>
      <c r="D11" s="389"/>
      <c r="E11" s="144">
        <v>2333</v>
      </c>
      <c r="F11" s="108"/>
      <c r="G11" s="108"/>
      <c r="H11" s="108"/>
      <c r="I11" s="108"/>
      <c r="J11" s="108"/>
      <c r="K11" s="87"/>
    </row>
    <row r="12" spans="1:13" ht="14.25" x14ac:dyDescent="0.2">
      <c r="A12" s="87"/>
      <c r="B12" s="387" t="s">
        <v>108</v>
      </c>
      <c r="C12" s="388"/>
      <c r="D12" s="389"/>
      <c r="E12" s="144">
        <v>800</v>
      </c>
      <c r="F12" s="108"/>
      <c r="G12" s="108"/>
      <c r="H12" s="108"/>
      <c r="I12" s="108"/>
      <c r="J12" s="108"/>
      <c r="K12" s="87"/>
    </row>
    <row r="13" spans="1:13" ht="14.25" x14ac:dyDescent="0.2">
      <c r="A13" s="87"/>
      <c r="B13" s="387" t="s">
        <v>137</v>
      </c>
      <c r="C13" s="388"/>
      <c r="D13" s="389"/>
      <c r="E13" s="144">
        <v>360</v>
      </c>
      <c r="F13" s="108"/>
      <c r="G13" s="108"/>
      <c r="H13" s="108"/>
      <c r="I13" s="108"/>
      <c r="J13" s="108"/>
      <c r="K13" s="87"/>
    </row>
    <row r="14" spans="1:13" ht="14.25" x14ac:dyDescent="0.2">
      <c r="A14" s="87"/>
      <c r="B14" s="390" t="s">
        <v>110</v>
      </c>
      <c r="C14" s="391"/>
      <c r="D14" s="392"/>
      <c r="E14" s="144">
        <v>0.8</v>
      </c>
      <c r="F14" s="108"/>
      <c r="G14" s="108"/>
      <c r="H14" s="108"/>
      <c r="I14" s="108"/>
      <c r="J14" s="108"/>
      <c r="K14" s="87"/>
    </row>
    <row r="15" spans="1:13" ht="14.25" x14ac:dyDescent="0.2">
      <c r="A15" s="87"/>
      <c r="B15" s="387" t="s">
        <v>197</v>
      </c>
      <c r="C15" s="388"/>
      <c r="D15" s="389"/>
      <c r="E15" s="144">
        <v>0.98</v>
      </c>
      <c r="F15" s="108"/>
      <c r="G15" s="108"/>
      <c r="H15" s="108"/>
      <c r="I15" s="108"/>
      <c r="J15" s="108"/>
      <c r="K15" s="87"/>
    </row>
    <row r="16" spans="1:13" ht="14.25" x14ac:dyDescent="0.2">
      <c r="A16" s="87"/>
      <c r="B16" s="387" t="s">
        <v>112</v>
      </c>
      <c r="C16" s="388"/>
      <c r="D16" s="389"/>
      <c r="E16" s="147">
        <v>3.95E-2</v>
      </c>
      <c r="F16" s="108"/>
      <c r="G16" s="108"/>
      <c r="H16" s="108"/>
      <c r="I16" s="108"/>
      <c r="J16" s="108"/>
      <c r="K16" s="87"/>
    </row>
    <row r="17" spans="1:11" ht="14.25" x14ac:dyDescent="0.2">
      <c r="A17" s="87"/>
      <c r="B17" s="271" t="s">
        <v>199</v>
      </c>
      <c r="C17" s="272"/>
      <c r="D17" s="273"/>
      <c r="E17" s="274">
        <v>0.13</v>
      </c>
      <c r="F17" s="108"/>
      <c r="G17" s="108"/>
      <c r="H17" s="108"/>
      <c r="I17" s="108"/>
      <c r="J17" s="108"/>
      <c r="K17" s="87"/>
    </row>
    <row r="18" spans="1:11" x14ac:dyDescent="0.25">
      <c r="A18" s="87"/>
      <c r="B18" s="387" t="s">
        <v>156</v>
      </c>
      <c r="C18" s="388"/>
      <c r="D18" s="389"/>
      <c r="E18" s="144">
        <v>0.1</v>
      </c>
      <c r="F18" s="108"/>
      <c r="G18" s="108"/>
      <c r="H18" s="108"/>
      <c r="I18" s="108"/>
      <c r="J18" s="108"/>
      <c r="K18" s="87"/>
    </row>
    <row r="19" spans="1:11" ht="14.25" x14ac:dyDescent="0.2">
      <c r="A19" s="87"/>
      <c r="B19" s="87"/>
      <c r="C19" s="87"/>
      <c r="D19" s="87"/>
      <c r="E19" s="87"/>
      <c r="F19" s="108"/>
      <c r="G19" s="108"/>
      <c r="H19" s="108"/>
      <c r="I19" s="108"/>
      <c r="J19" s="108"/>
      <c r="K19" s="87"/>
    </row>
    <row r="20" spans="1:11" ht="14.25" x14ac:dyDescent="0.2">
      <c r="A20" s="87"/>
      <c r="B20" s="109" t="s">
        <v>114</v>
      </c>
      <c r="C20" s="109"/>
      <c r="D20" s="87"/>
      <c r="E20" s="87"/>
      <c r="F20" s="108"/>
      <c r="G20" s="108"/>
      <c r="H20" s="108"/>
      <c r="I20" s="108"/>
      <c r="J20" s="108"/>
      <c r="K20" s="87"/>
    </row>
    <row r="21" spans="1:11" ht="14.25" x14ac:dyDescent="0.2">
      <c r="A21" s="87"/>
      <c r="B21" s="87"/>
      <c r="C21" s="87"/>
      <c r="D21" s="87"/>
      <c r="E21" s="87"/>
      <c r="F21" s="87"/>
      <c r="G21" s="87"/>
      <c r="H21" s="110" t="s">
        <v>117</v>
      </c>
      <c r="I21" s="110" t="s">
        <v>117</v>
      </c>
      <c r="J21" s="111" t="s">
        <v>115</v>
      </c>
      <c r="K21" s="87"/>
    </row>
    <row r="22" spans="1:11" ht="14.25" x14ac:dyDescent="0.2">
      <c r="A22" s="87"/>
      <c r="B22" s="109" t="s">
        <v>102</v>
      </c>
      <c r="C22" s="109"/>
      <c r="D22" s="87"/>
      <c r="E22" s="87"/>
      <c r="F22" s="87"/>
      <c r="G22" s="87"/>
      <c r="H22" s="112">
        <v>300</v>
      </c>
      <c r="I22" s="112">
        <v>600</v>
      </c>
      <c r="J22" s="113">
        <f>E6</f>
        <v>300</v>
      </c>
      <c r="K22" s="87"/>
    </row>
    <row r="23" spans="1:11" ht="14.25" x14ac:dyDescent="0.2">
      <c r="A23" s="87"/>
      <c r="B23" s="114" t="s">
        <v>103</v>
      </c>
      <c r="C23" s="109"/>
      <c r="D23" s="87"/>
      <c r="E23" s="87"/>
      <c r="F23" s="87"/>
      <c r="G23" s="87"/>
      <c r="H23" s="115">
        <v>3.33</v>
      </c>
      <c r="I23" s="115">
        <v>3.33</v>
      </c>
      <c r="J23" s="116">
        <f>E7</f>
        <v>1.75</v>
      </c>
      <c r="K23" s="87"/>
    </row>
    <row r="24" spans="1:11" ht="14.25" x14ac:dyDescent="0.2">
      <c r="A24" s="87"/>
      <c r="B24" s="114" t="s">
        <v>106</v>
      </c>
      <c r="C24" s="109"/>
      <c r="D24" s="87"/>
      <c r="E24" s="87"/>
      <c r="F24" s="87"/>
      <c r="G24" s="87"/>
      <c r="H24" s="217">
        <v>60</v>
      </c>
      <c r="I24" s="217">
        <v>90</v>
      </c>
      <c r="J24" s="116">
        <f>E10</f>
        <v>60</v>
      </c>
      <c r="K24" s="87"/>
    </row>
    <row r="25" spans="1:11" ht="14.25" x14ac:dyDescent="0.2">
      <c r="A25" s="87"/>
      <c r="B25" s="114" t="s">
        <v>159</v>
      </c>
      <c r="C25" s="109"/>
      <c r="D25" s="87"/>
      <c r="E25" s="87"/>
      <c r="F25" s="87"/>
      <c r="G25" s="87"/>
      <c r="H25" s="118">
        <v>2333</v>
      </c>
      <c r="I25" s="118">
        <v>2333</v>
      </c>
      <c r="J25" s="116">
        <f>E11</f>
        <v>2333</v>
      </c>
      <c r="K25" s="87"/>
    </row>
    <row r="26" spans="1:11" ht="14.25" x14ac:dyDescent="0.2">
      <c r="A26" s="87"/>
      <c r="B26" s="114" t="s">
        <v>160</v>
      </c>
      <c r="C26" s="109"/>
      <c r="D26" s="87"/>
      <c r="E26" s="87"/>
      <c r="F26" s="87"/>
      <c r="G26" s="87"/>
      <c r="H26" s="118">
        <v>800</v>
      </c>
      <c r="I26" s="118">
        <v>800</v>
      </c>
      <c r="J26" s="116">
        <f>E12</f>
        <v>800</v>
      </c>
      <c r="K26" s="87"/>
    </row>
    <row r="27" spans="1:11" x14ac:dyDescent="0.25">
      <c r="A27" s="87"/>
      <c r="B27" s="87"/>
      <c r="C27" s="87"/>
      <c r="D27" s="87"/>
      <c r="E27" s="87"/>
      <c r="F27" s="119" t="s">
        <v>121</v>
      </c>
      <c r="G27" s="87"/>
      <c r="H27" s="87"/>
      <c r="I27" s="87"/>
      <c r="J27" s="87"/>
      <c r="K27" s="87"/>
    </row>
    <row r="28" spans="1:11" ht="14.25" x14ac:dyDescent="0.2">
      <c r="A28" s="87"/>
      <c r="B28" s="114" t="s">
        <v>122</v>
      </c>
      <c r="C28" s="109"/>
      <c r="D28" s="109"/>
      <c r="E28" s="87"/>
      <c r="F28" s="120">
        <v>120</v>
      </c>
      <c r="G28" s="119" t="s">
        <v>123</v>
      </c>
      <c r="H28" s="121">
        <v>3</v>
      </c>
      <c r="I28" s="121">
        <v>6</v>
      </c>
      <c r="J28" s="122"/>
      <c r="K28" s="87"/>
    </row>
    <row r="29" spans="1:11" ht="14.25" x14ac:dyDescent="0.2">
      <c r="A29" s="87"/>
      <c r="B29" s="87"/>
      <c r="C29" s="87"/>
      <c r="D29" s="87"/>
      <c r="E29" s="87"/>
      <c r="F29" s="87"/>
      <c r="G29" s="87"/>
      <c r="H29" s="123">
        <f>$F$28*H28</f>
        <v>360</v>
      </c>
      <c r="I29" s="123">
        <f>$F$28*I28</f>
        <v>720</v>
      </c>
      <c r="J29" s="124">
        <f>E13</f>
        <v>360</v>
      </c>
      <c r="K29" s="87"/>
    </row>
    <row r="30" spans="1:11" ht="14.25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ht="14.25" x14ac:dyDescent="0.2">
      <c r="A31" s="87"/>
      <c r="B31" s="87"/>
      <c r="C31" s="87"/>
      <c r="D31" s="87"/>
      <c r="E31" s="87"/>
      <c r="F31" s="187" t="s">
        <v>128</v>
      </c>
      <c r="G31" s="88"/>
      <c r="H31" s="123">
        <f>H24+H25+H26+H29</f>
        <v>3553</v>
      </c>
      <c r="I31" s="123">
        <f t="shared" ref="I31:J31" si="0">I24+I25+I26+I29</f>
        <v>3943</v>
      </c>
      <c r="J31" s="123">
        <f t="shared" si="0"/>
        <v>3553</v>
      </c>
      <c r="K31" s="87"/>
    </row>
    <row r="32" spans="1:11" x14ac:dyDescent="0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x14ac:dyDescent="0.2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x14ac:dyDescent="0.25">
      <c r="A34" s="87"/>
      <c r="B34" s="117" t="s">
        <v>155</v>
      </c>
      <c r="C34" s="109"/>
      <c r="D34" s="109"/>
      <c r="E34" s="88"/>
      <c r="F34" s="88"/>
      <c r="G34" s="88"/>
      <c r="H34" s="123">
        <f>H31/H22</f>
        <v>11.843333333333334</v>
      </c>
      <c r="I34" s="123">
        <f>I31/I22</f>
        <v>6.5716666666666663</v>
      </c>
      <c r="J34" s="124">
        <f>IF(J22=0, " ", J31/J22)</f>
        <v>11.843333333333334</v>
      </c>
      <c r="K34" s="87"/>
    </row>
    <row r="35" spans="1:11" x14ac:dyDescent="0.2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x14ac:dyDescent="0.2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x14ac:dyDescent="0.25">
      <c r="A37" s="87"/>
      <c r="B37" s="117" t="s">
        <v>125</v>
      </c>
      <c r="C37" s="109"/>
      <c r="D37" s="109"/>
      <c r="E37" s="88"/>
      <c r="F37" s="125">
        <f>E8*E9</f>
        <v>18.05</v>
      </c>
      <c r="G37" s="126" t="s">
        <v>201</v>
      </c>
      <c r="H37" s="127">
        <f>H34/$F$37</f>
        <v>0.65614035087719302</v>
      </c>
      <c r="I37" s="127">
        <f>I34/$F$37</f>
        <v>0.36408125577100642</v>
      </c>
      <c r="J37" s="128">
        <f>IF($J$22=0," ",$J$34/F37)</f>
        <v>0.65614035087719302</v>
      </c>
      <c r="K37" s="87"/>
    </row>
    <row r="38" spans="1:11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1" x14ac:dyDescent="0.25">
      <c r="A39" s="87"/>
      <c r="B39" s="117" t="s">
        <v>126</v>
      </c>
      <c r="C39" s="109"/>
      <c r="D39" s="87"/>
      <c r="E39" s="87"/>
      <c r="F39" s="87"/>
      <c r="G39" s="87"/>
      <c r="H39" s="87"/>
      <c r="I39" s="87"/>
      <c r="J39" s="87"/>
      <c r="K39" s="87"/>
    </row>
    <row r="40" spans="1:11" x14ac:dyDescent="0.2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 x14ac:dyDescent="0.25">
      <c r="A41" s="87"/>
      <c r="B41" s="114" t="s">
        <v>110</v>
      </c>
      <c r="C41" s="109"/>
      <c r="D41" s="120">
        <v>0.6</v>
      </c>
      <c r="E41" s="87"/>
      <c r="F41" s="87"/>
      <c r="G41" s="87"/>
      <c r="H41" s="118">
        <f>H$22*$D$41</f>
        <v>180</v>
      </c>
      <c r="I41" s="118">
        <f>I$22*$D$41</f>
        <v>360</v>
      </c>
      <c r="J41" s="116">
        <f>J22*E14</f>
        <v>240</v>
      </c>
      <c r="K41" s="87"/>
    </row>
    <row r="42" spans="1:11" x14ac:dyDescent="0.25">
      <c r="A42" s="87"/>
      <c r="B42" s="114" t="s">
        <v>127</v>
      </c>
      <c r="C42" s="109"/>
      <c r="D42" s="120">
        <v>0.98</v>
      </c>
      <c r="E42" s="87"/>
      <c r="F42" s="87"/>
      <c r="G42" s="87"/>
      <c r="H42" s="118">
        <f>H$22*$D$42</f>
        <v>294</v>
      </c>
      <c r="I42" s="118">
        <f>I$22*$D$42</f>
        <v>588</v>
      </c>
      <c r="J42" s="116">
        <f>E6*E15</f>
        <v>294</v>
      </c>
      <c r="K42" s="87"/>
    </row>
    <row r="43" spans="1:11" x14ac:dyDescent="0.25">
      <c r="A43" s="87"/>
      <c r="B43" s="87"/>
      <c r="C43" s="87"/>
      <c r="D43" s="87"/>
      <c r="E43" s="87"/>
      <c r="F43" s="117" t="s">
        <v>128</v>
      </c>
      <c r="G43" s="130"/>
      <c r="H43" s="123">
        <f>SUM(H41:H42)</f>
        <v>474</v>
      </c>
      <c r="I43" s="123">
        <f>SUM(I41:I42)</f>
        <v>948</v>
      </c>
      <c r="J43" s="124">
        <f>SUM(J41:J42)</f>
        <v>534</v>
      </c>
      <c r="K43" s="87"/>
    </row>
    <row r="44" spans="1:11" x14ac:dyDescent="0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x14ac:dyDescent="0.25">
      <c r="A45" s="87"/>
      <c r="B45" s="87"/>
      <c r="C45" s="87"/>
      <c r="D45" s="87"/>
      <c r="E45" s="87"/>
      <c r="F45" s="129" t="s">
        <v>129</v>
      </c>
      <c r="G45" s="130"/>
      <c r="H45" s="123">
        <f>H43/H22</f>
        <v>1.58</v>
      </c>
      <c r="I45" s="123">
        <f>I43/I22</f>
        <v>1.58</v>
      </c>
      <c r="J45" s="124">
        <f>IF(J22=0," ",J43/J22)</f>
        <v>1.78</v>
      </c>
      <c r="K45" s="87"/>
    </row>
    <row r="46" spans="1:11" x14ac:dyDescent="0.2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x14ac:dyDescent="0.2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x14ac:dyDescent="0.25">
      <c r="A48" s="87"/>
      <c r="B48" s="117" t="s">
        <v>157</v>
      </c>
      <c r="C48" s="109"/>
      <c r="D48" s="117"/>
      <c r="E48" s="117"/>
      <c r="F48" s="117"/>
      <c r="G48" s="131"/>
      <c r="H48" s="132">
        <f>H34+H45</f>
        <v>13.423333333333334</v>
      </c>
      <c r="I48" s="132">
        <f>I34+I45</f>
        <v>8.1516666666666673</v>
      </c>
      <c r="J48" s="124">
        <f>IF(J22=0," ",J34+J45)</f>
        <v>13.623333333333333</v>
      </c>
      <c r="K48" s="87"/>
    </row>
    <row r="49" spans="1:15" x14ac:dyDescent="0.2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5" x14ac:dyDescent="0.2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1:15" x14ac:dyDescent="0.25">
      <c r="A51" s="87"/>
      <c r="B51" s="117" t="s">
        <v>132</v>
      </c>
      <c r="C51" s="109"/>
      <c r="D51" s="109"/>
      <c r="E51" s="109"/>
      <c r="F51" s="133">
        <f>F37</f>
        <v>18.05</v>
      </c>
      <c r="G51" s="134" t="s">
        <v>201</v>
      </c>
      <c r="H51" s="132">
        <f>$H$48/F37</f>
        <v>0.74367497691597417</v>
      </c>
      <c r="I51" s="132">
        <f>I48/$F$37</f>
        <v>0.45161588180978762</v>
      </c>
      <c r="J51" s="124">
        <f>IF(J22=0," ",J48/$F$37)</f>
        <v>0.75475530932594637</v>
      </c>
      <c r="K51" s="87"/>
    </row>
    <row r="52" spans="1:15" x14ac:dyDescent="0.2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5" x14ac:dyDescent="0.2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1:15" x14ac:dyDescent="0.25">
      <c r="A54" s="87"/>
      <c r="B54" s="117" t="s">
        <v>133</v>
      </c>
      <c r="C54" s="109"/>
      <c r="D54" s="87"/>
      <c r="E54" s="87"/>
      <c r="F54" s="87"/>
      <c r="G54" s="87"/>
      <c r="H54" s="87"/>
      <c r="I54" s="87"/>
      <c r="J54" s="87"/>
      <c r="K54" s="87"/>
    </row>
    <row r="55" spans="1:15" x14ac:dyDescent="0.25">
      <c r="A55" s="87"/>
      <c r="B55" s="114" t="s">
        <v>134</v>
      </c>
      <c r="C55" s="109"/>
      <c r="D55" s="109"/>
      <c r="E55" s="135">
        <f>E16</f>
        <v>3.95E-2</v>
      </c>
      <c r="F55" s="87"/>
      <c r="G55" s="87"/>
      <c r="H55" s="137">
        <f>E7*E8*E55</f>
        <v>2.6267499999999999</v>
      </c>
      <c r="I55" s="137">
        <f>E7*E8*E55</f>
        <v>2.6267499999999999</v>
      </c>
      <c r="J55" s="116">
        <f>E7*E8*E55</f>
        <v>2.6267499999999999</v>
      </c>
      <c r="K55" s="87"/>
      <c r="N55" s="78"/>
      <c r="O55" s="78"/>
    </row>
    <row r="56" spans="1:15" x14ac:dyDescent="0.25">
      <c r="A56" s="87"/>
      <c r="B56" s="109" t="s">
        <v>198</v>
      </c>
      <c r="C56" s="109"/>
      <c r="D56" s="109"/>
      <c r="E56" s="275">
        <f>0.13</f>
        <v>0.13</v>
      </c>
      <c r="F56" s="87"/>
      <c r="G56" s="87"/>
      <c r="H56" s="137">
        <f>E56</f>
        <v>0.13</v>
      </c>
      <c r="I56" s="137">
        <f>E56</f>
        <v>0.13</v>
      </c>
      <c r="J56" s="116">
        <f>E17</f>
        <v>0.13</v>
      </c>
      <c r="K56" s="87"/>
      <c r="N56" s="78"/>
    </row>
    <row r="57" spans="1:15" x14ac:dyDescent="0.25">
      <c r="A57" s="87"/>
      <c r="B57" s="109" t="s">
        <v>138</v>
      </c>
      <c r="C57" s="109"/>
      <c r="D57" s="109"/>
      <c r="E57" s="87"/>
      <c r="F57" s="87"/>
      <c r="G57" s="87"/>
      <c r="H57" s="137">
        <v>0.1</v>
      </c>
      <c r="I57" s="137">
        <v>0.1</v>
      </c>
      <c r="J57" s="116">
        <f>E18</f>
        <v>0.1</v>
      </c>
      <c r="K57" s="87"/>
      <c r="N57" s="78"/>
    </row>
    <row r="58" spans="1:15" x14ac:dyDescent="0.25">
      <c r="A58" s="87"/>
      <c r="B58" s="87"/>
      <c r="C58" s="87"/>
      <c r="D58" s="117" t="s">
        <v>133</v>
      </c>
      <c r="E58" s="88"/>
      <c r="F58" s="117" t="s">
        <v>129</v>
      </c>
      <c r="G58" s="88"/>
      <c r="H58" s="132">
        <f>SUM(H55:H57)</f>
        <v>2.8567499999999999</v>
      </c>
      <c r="I58" s="132">
        <f>SUM(I55:I57)</f>
        <v>2.8567499999999999</v>
      </c>
      <c r="J58" s="124">
        <f>SUM(J55:J57)</f>
        <v>2.8567499999999999</v>
      </c>
      <c r="K58" s="87"/>
    </row>
    <row r="59" spans="1:15" x14ac:dyDescent="0.25">
      <c r="A59" s="87"/>
      <c r="B59" s="87"/>
      <c r="C59" s="87"/>
      <c r="D59" s="87"/>
      <c r="E59" s="87"/>
      <c r="F59" s="117" t="s">
        <v>208</v>
      </c>
      <c r="G59" s="88"/>
      <c r="H59" s="132">
        <f>H58/F51</f>
        <v>0.15826869806094182</v>
      </c>
      <c r="I59" s="132">
        <f>I58/F37</f>
        <v>0.15826869806094182</v>
      </c>
      <c r="J59" s="132">
        <f>J58/F37</f>
        <v>0.15826869806094182</v>
      </c>
      <c r="K59" s="87"/>
    </row>
    <row r="60" spans="1:15" ht="14.4" thickBot="1" x14ac:dyDescent="0.3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5" ht="14.4" thickBot="1" x14ac:dyDescent="0.3">
      <c r="A61" s="87"/>
      <c r="B61" s="393" t="s">
        <v>158</v>
      </c>
      <c r="C61" s="394"/>
      <c r="D61" s="394"/>
      <c r="E61" s="394"/>
      <c r="F61" s="394"/>
      <c r="G61" s="395"/>
      <c r="H61" s="138">
        <f>H58+H34</f>
        <v>14.700083333333334</v>
      </c>
      <c r="I61" s="138">
        <f>I58+I34</f>
        <v>9.4284166666666671</v>
      </c>
      <c r="J61" s="139">
        <f>J58+J34</f>
        <v>14.700083333333334</v>
      </c>
      <c r="K61" s="87"/>
    </row>
    <row r="62" spans="1:15" ht="14.4" thickBot="1" x14ac:dyDescent="0.3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1:15" ht="14.4" thickBot="1" x14ac:dyDescent="0.3">
      <c r="A63" s="87"/>
      <c r="B63" s="393" t="s">
        <v>193</v>
      </c>
      <c r="C63" s="394"/>
      <c r="D63" s="394"/>
      <c r="E63" s="394"/>
      <c r="F63" s="394"/>
      <c r="G63" s="395"/>
      <c r="H63" s="138">
        <f>H61/$F$37</f>
        <v>0.81440904893813482</v>
      </c>
      <c r="I63" s="138">
        <f>I61/$F$37</f>
        <v>0.52234995383194827</v>
      </c>
      <c r="J63" s="138">
        <f>J61/$F$37</f>
        <v>0.81440904893813482</v>
      </c>
      <c r="K63" s="87"/>
    </row>
    <row r="64" spans="1:15" x14ac:dyDescent="0.2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9" x14ac:dyDescent="0.25">
      <c r="H65" s="174"/>
      <c r="I65" s="174"/>
    </row>
    <row r="66" spans="2:9" x14ac:dyDescent="0.25">
      <c r="E66" s="185"/>
      <c r="F66" s="185"/>
      <c r="G66" s="185"/>
      <c r="H66" s="181"/>
      <c r="I66" s="174"/>
    </row>
    <row r="67" spans="2:9" x14ac:dyDescent="0.25">
      <c r="E67" s="186"/>
      <c r="F67" s="186"/>
      <c r="G67" s="186"/>
      <c r="H67" s="182"/>
    </row>
    <row r="68" spans="2:9" x14ac:dyDescent="0.25">
      <c r="E68" s="186"/>
      <c r="F68" s="186"/>
      <c r="G68" s="186"/>
      <c r="H68" s="183"/>
    </row>
    <row r="69" spans="2:9" x14ac:dyDescent="0.25">
      <c r="E69" s="184"/>
      <c r="F69" s="184"/>
      <c r="G69" s="184"/>
      <c r="H69" s="184"/>
    </row>
    <row r="71" spans="2:9" x14ac:dyDescent="0.25">
      <c r="B71" s="175"/>
    </row>
    <row r="72" spans="2:9" x14ac:dyDescent="0.25">
      <c r="G72" s="176"/>
    </row>
    <row r="75" spans="2:9" x14ac:dyDescent="0.25">
      <c r="B75" s="177"/>
    </row>
  </sheetData>
  <sheetProtection sheet="1" objects="1" scenarios="1" selectLockedCells="1"/>
  <mergeCells count="14">
    <mergeCell ref="B63:G63"/>
    <mergeCell ref="B61:G61"/>
    <mergeCell ref="B12:D12"/>
    <mergeCell ref="B13:D13"/>
    <mergeCell ref="B14:D14"/>
    <mergeCell ref="B15:D15"/>
    <mergeCell ref="B16:D16"/>
    <mergeCell ref="B18:D18"/>
    <mergeCell ref="B11:D11"/>
    <mergeCell ref="B6:D6"/>
    <mergeCell ref="B7:D7"/>
    <mergeCell ref="B8:D8"/>
    <mergeCell ref="B9:D9"/>
    <mergeCell ref="B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499984740745262"/>
    <pageSetUpPr fitToPage="1"/>
  </sheetPr>
  <dimension ref="A1:H54"/>
  <sheetViews>
    <sheetView view="pageBreakPreview" zoomScale="60" zoomScaleNormal="60" workbookViewId="0">
      <selection activeCell="G21" sqref="G21"/>
    </sheetView>
  </sheetViews>
  <sheetFormatPr defaultColWidth="9" defaultRowHeight="13.8" x14ac:dyDescent="0.25"/>
  <cols>
    <col min="1" max="1" width="7.5" style="62" customWidth="1"/>
    <col min="2" max="2" width="23.59765625" style="62" customWidth="1"/>
    <col min="3" max="3" width="11.8984375" style="62" customWidth="1"/>
    <col min="4" max="4" width="13.3984375" style="62" customWidth="1"/>
    <col min="5" max="5" width="12" style="62" customWidth="1"/>
    <col min="6" max="6" width="11.19921875" style="62" customWidth="1"/>
    <col min="7" max="16384" width="9" style="62"/>
  </cols>
  <sheetData>
    <row r="1" spans="1:7" ht="14.25" x14ac:dyDescent="0.2">
      <c r="A1" s="93"/>
      <c r="B1" s="207" t="s">
        <v>149</v>
      </c>
      <c r="C1" s="209"/>
      <c r="D1" s="209"/>
      <c r="E1" s="209"/>
      <c r="F1" s="210"/>
      <c r="G1" s="93"/>
    </row>
    <row r="2" spans="1:7" ht="14.25" x14ac:dyDescent="0.2">
      <c r="A2" s="93"/>
      <c r="B2" s="93"/>
      <c r="C2" s="93"/>
      <c r="D2" s="93"/>
      <c r="E2" s="93"/>
      <c r="F2" s="93"/>
      <c r="G2" s="93"/>
    </row>
    <row r="3" spans="1:7" ht="14.25" x14ac:dyDescent="0.2">
      <c r="A3" s="93"/>
      <c r="B3" s="380" t="s">
        <v>170</v>
      </c>
      <c r="C3" s="396"/>
      <c r="D3" s="225">
        <f>'Cattle data'!B1</f>
        <v>43176</v>
      </c>
      <c r="E3" s="90" t="s">
        <v>195</v>
      </c>
      <c r="F3" s="226">
        <f>'Cattle data'!B2</f>
        <v>4590</v>
      </c>
      <c r="G3" s="93"/>
    </row>
    <row r="4" spans="1:7" ht="14.25" x14ac:dyDescent="0.2">
      <c r="A4" s="93"/>
      <c r="B4" s="93"/>
      <c r="C4" s="101" t="s">
        <v>186</v>
      </c>
      <c r="D4" s="236">
        <f>'Cattle data'!D1</f>
        <v>11</v>
      </c>
      <c r="E4" s="93"/>
      <c r="F4" s="93"/>
      <c r="G4" s="93"/>
    </row>
    <row r="5" spans="1:7" ht="14.25" x14ac:dyDescent="0.2">
      <c r="A5" s="93"/>
      <c r="B5" s="93"/>
      <c r="C5" s="93"/>
      <c r="D5" s="93"/>
      <c r="E5" s="93"/>
      <c r="F5" s="93"/>
      <c r="G5" s="93"/>
    </row>
    <row r="6" spans="1:7" ht="14.25" x14ac:dyDescent="0.2">
      <c r="A6" s="93"/>
      <c r="B6" s="373" t="s">
        <v>43</v>
      </c>
      <c r="C6" s="374"/>
      <c r="D6" s="375"/>
      <c r="E6" s="93"/>
      <c r="F6" s="93"/>
      <c r="G6" s="93"/>
    </row>
    <row r="7" spans="1:7" ht="14.25" x14ac:dyDescent="0.2">
      <c r="A7" s="93"/>
      <c r="B7" s="377" t="s">
        <v>98</v>
      </c>
      <c r="C7" s="378"/>
      <c r="D7" s="379"/>
      <c r="E7" s="93"/>
      <c r="F7" s="93"/>
      <c r="G7" s="93"/>
    </row>
    <row r="8" spans="1:7" ht="14.25" x14ac:dyDescent="0.2">
      <c r="A8" s="93"/>
      <c r="B8" s="93"/>
      <c r="C8" s="93"/>
      <c r="D8" s="93"/>
      <c r="E8" s="93"/>
      <c r="F8" s="93"/>
      <c r="G8" s="93"/>
    </row>
    <row r="9" spans="1:7" ht="14.25" x14ac:dyDescent="0.2">
      <c r="A9" s="93"/>
      <c r="B9" s="93"/>
      <c r="C9" s="93"/>
      <c r="D9" s="93"/>
      <c r="E9" s="93"/>
      <c r="F9" s="93"/>
      <c r="G9" s="93"/>
    </row>
    <row r="10" spans="1:7" ht="14.25" x14ac:dyDescent="0.2">
      <c r="A10" s="93"/>
      <c r="B10" s="90" t="s">
        <v>144</v>
      </c>
      <c r="C10" s="81">
        <v>320</v>
      </c>
      <c r="D10" s="93"/>
      <c r="E10" s="93"/>
      <c r="F10" s="93"/>
      <c r="G10" s="93"/>
    </row>
    <row r="11" spans="1:7" ht="14.25" x14ac:dyDescent="0.2">
      <c r="A11" s="93"/>
      <c r="B11" s="90" t="s">
        <v>143</v>
      </c>
      <c r="C11" s="82">
        <v>0</v>
      </c>
      <c r="D11" s="93"/>
      <c r="E11" s="93"/>
      <c r="F11" s="93"/>
      <c r="G11" s="93"/>
    </row>
    <row r="12" spans="1:7" ht="14.25" x14ac:dyDescent="0.2">
      <c r="A12" s="93"/>
      <c r="B12" s="90" t="s">
        <v>67</v>
      </c>
      <c r="C12" s="83" t="s">
        <v>69</v>
      </c>
      <c r="D12" s="93"/>
      <c r="E12" s="93"/>
      <c r="F12" s="93"/>
      <c r="G12" s="93"/>
    </row>
    <row r="13" spans="1:7" ht="14.25" x14ac:dyDescent="0.2">
      <c r="A13" s="93"/>
      <c r="B13" s="91" t="s">
        <v>17</v>
      </c>
      <c r="C13" s="103" t="s">
        <v>11</v>
      </c>
      <c r="D13" s="103">
        <v>3</v>
      </c>
      <c r="E13" s="93"/>
      <c r="F13" s="93"/>
      <c r="G13" s="93"/>
    </row>
    <row r="14" spans="1:7" ht="14.25" x14ac:dyDescent="0.2">
      <c r="A14" s="93"/>
      <c r="B14" s="91" t="s">
        <v>66</v>
      </c>
      <c r="C14" s="83" t="s">
        <v>11</v>
      </c>
      <c r="D14" s="83">
        <v>3</v>
      </c>
      <c r="E14" s="93"/>
      <c r="F14" s="93"/>
      <c r="G14" s="93"/>
    </row>
    <row r="15" spans="1:7" ht="14.25" x14ac:dyDescent="0.2">
      <c r="A15" s="93"/>
      <c r="B15" s="93"/>
      <c r="C15" s="93"/>
      <c r="D15" s="93"/>
      <c r="E15" s="93"/>
      <c r="F15" s="93"/>
      <c r="G15" s="93"/>
    </row>
    <row r="16" spans="1:7" x14ac:dyDescent="0.25">
      <c r="A16" s="93"/>
      <c r="B16" s="397" t="s">
        <v>171</v>
      </c>
      <c r="C16" s="398"/>
      <c r="D16" s="399"/>
      <c r="E16" s="93"/>
      <c r="F16" s="93"/>
      <c r="G16" s="93"/>
    </row>
    <row r="17" spans="1:8" x14ac:dyDescent="0.25">
      <c r="A17" s="93"/>
      <c r="B17" s="90" t="s">
        <v>80</v>
      </c>
      <c r="C17" s="64"/>
      <c r="D17" s="103" t="s">
        <v>173</v>
      </c>
      <c r="E17" s="93"/>
      <c r="F17" s="93"/>
      <c r="G17" s="93"/>
    </row>
    <row r="18" spans="1:8" ht="14.25" hidden="1" x14ac:dyDescent="0.2">
      <c r="A18" s="93"/>
      <c r="B18" s="90" t="s">
        <v>80</v>
      </c>
      <c r="C18" s="64"/>
      <c r="D18" s="103" t="s">
        <v>173</v>
      </c>
      <c r="E18" s="93"/>
      <c r="F18" s="93"/>
      <c r="G18" s="93"/>
    </row>
    <row r="19" spans="1:8" ht="14.25" hidden="1" x14ac:dyDescent="0.2">
      <c r="A19" s="93"/>
      <c r="B19" s="90" t="s">
        <v>81</v>
      </c>
      <c r="C19" s="64"/>
      <c r="D19" s="103" t="s">
        <v>173</v>
      </c>
      <c r="E19" s="93"/>
      <c r="F19" s="93"/>
      <c r="G19" s="93"/>
    </row>
    <row r="20" spans="1:8" x14ac:dyDescent="0.25">
      <c r="A20" s="93"/>
      <c r="B20" s="90" t="s">
        <v>81</v>
      </c>
      <c r="C20" s="64"/>
      <c r="D20" s="103" t="s">
        <v>173</v>
      </c>
      <c r="E20" s="93"/>
      <c r="F20" s="93"/>
      <c r="G20" s="93"/>
    </row>
    <row r="21" spans="1:8" x14ac:dyDescent="0.25">
      <c r="A21" s="93"/>
      <c r="B21" s="90" t="s">
        <v>63</v>
      </c>
      <c r="C21" s="64"/>
      <c r="D21" s="103" t="s">
        <v>173</v>
      </c>
      <c r="E21" s="93"/>
      <c r="F21" s="93"/>
      <c r="G21" s="93"/>
    </row>
    <row r="22" spans="1:8" x14ac:dyDescent="0.25">
      <c r="A22" s="93"/>
      <c r="B22" s="90" t="s">
        <v>64</v>
      </c>
      <c r="C22" s="64"/>
      <c r="D22" s="103" t="s">
        <v>173</v>
      </c>
      <c r="E22" s="93"/>
      <c r="F22" s="93"/>
      <c r="G22" s="93"/>
    </row>
    <row r="23" spans="1:8" x14ac:dyDescent="0.25">
      <c r="A23" s="93"/>
      <c r="B23" s="90" t="s">
        <v>65</v>
      </c>
      <c r="C23" s="64"/>
      <c r="D23" s="103" t="s">
        <v>173</v>
      </c>
      <c r="E23" s="93"/>
      <c r="F23" s="93"/>
      <c r="G23" s="93"/>
    </row>
    <row r="24" spans="1:8" x14ac:dyDescent="0.25">
      <c r="A24" s="93"/>
      <c r="B24" s="90" t="s">
        <v>47</v>
      </c>
      <c r="C24" s="64"/>
      <c r="D24" s="103" t="s">
        <v>173</v>
      </c>
      <c r="E24" s="93"/>
      <c r="F24" s="93"/>
      <c r="G24" s="93"/>
    </row>
    <row r="25" spans="1:8" x14ac:dyDescent="0.25">
      <c r="A25" s="93"/>
      <c r="B25" s="90" t="s">
        <v>168</v>
      </c>
      <c r="C25" s="64"/>
      <c r="D25" s="103" t="s">
        <v>173</v>
      </c>
      <c r="E25" s="93"/>
      <c r="F25" s="93"/>
      <c r="G25" s="93"/>
      <c r="H25" s="65"/>
    </row>
    <row r="26" spans="1:8" ht="15" thickBot="1" x14ac:dyDescent="0.25">
      <c r="A26" s="93"/>
      <c r="B26" s="93"/>
      <c r="C26" s="93"/>
      <c r="D26" s="93"/>
      <c r="E26" s="93"/>
      <c r="F26" s="93"/>
      <c r="G26" s="93"/>
    </row>
    <row r="27" spans="1:8" ht="15" thickBot="1" x14ac:dyDescent="0.25">
      <c r="A27" s="93"/>
      <c r="B27" s="243" t="s">
        <v>18</v>
      </c>
      <c r="C27" s="256" t="s">
        <v>15</v>
      </c>
      <c r="D27" s="256" t="s">
        <v>184</v>
      </c>
      <c r="E27" s="256" t="s">
        <v>78</v>
      </c>
      <c r="F27" s="253" t="s">
        <v>42</v>
      </c>
      <c r="G27" s="93"/>
    </row>
    <row r="28" spans="1:8" ht="14.25" x14ac:dyDescent="0.2">
      <c r="A28" s="93"/>
      <c r="B28" s="247" t="s">
        <v>28</v>
      </c>
      <c r="C28" s="266">
        <f>'Cattle data'!B8</f>
        <v>340</v>
      </c>
      <c r="D28" s="266">
        <f>'Cattle data'!C8</f>
        <v>361.8</v>
      </c>
      <c r="E28" s="266">
        <f>'Cattle data'!D8</f>
        <v>367</v>
      </c>
      <c r="F28" s="267">
        <f>'Cattle data'!E8</f>
        <v>0</v>
      </c>
      <c r="G28" s="93"/>
    </row>
    <row r="29" spans="1:8" ht="14.25" x14ac:dyDescent="0.2">
      <c r="A29" s="93"/>
      <c r="B29" s="90" t="s">
        <v>75</v>
      </c>
      <c r="C29" s="216">
        <f>'Cattle data'!B9</f>
        <v>340</v>
      </c>
      <c r="D29" s="215">
        <f>'Cattle data'!C9</f>
        <v>361.8</v>
      </c>
      <c r="E29" s="215">
        <f>'Cattle data'!D9</f>
        <v>367</v>
      </c>
      <c r="F29" s="106">
        <f>'Cattle data'!E9</f>
        <v>0</v>
      </c>
      <c r="G29" s="93"/>
    </row>
    <row r="30" spans="1:8" ht="14.25" x14ac:dyDescent="0.2">
      <c r="A30" s="93"/>
      <c r="B30" s="90" t="s">
        <v>76</v>
      </c>
      <c r="C30" s="104">
        <f>'Cattle data'!B10</f>
        <v>1088</v>
      </c>
      <c r="D30" s="80">
        <f>'Cattle data'!C10</f>
        <v>1157.76</v>
      </c>
      <c r="E30" s="80">
        <f>'Cattle data'!D10</f>
        <v>1174.4000000000001</v>
      </c>
      <c r="F30" s="80">
        <f>'Cattle data'!E10</f>
        <v>0</v>
      </c>
      <c r="G30" s="93"/>
    </row>
    <row r="31" spans="1:8" ht="15" thickBot="1" x14ac:dyDescent="0.25">
      <c r="A31" s="93"/>
      <c r="B31" s="400" t="str">
        <f>IF('Cattle data'!D4&gt;0,"IoMMs price includes bonus of","")</f>
        <v/>
      </c>
      <c r="C31" s="400"/>
      <c r="D31" s="262" t="str">
        <f>IF('Cattle data'!D4&gt;0,'Cattle data'!D4," ")</f>
        <v xml:space="preserve"> </v>
      </c>
      <c r="E31" s="93"/>
      <c r="F31" s="93"/>
      <c r="G31" s="93"/>
    </row>
    <row r="32" spans="1:8" ht="14.4" thickBot="1" x14ac:dyDescent="0.3">
      <c r="A32" s="93"/>
      <c r="B32" s="243" t="s">
        <v>172</v>
      </c>
      <c r="C32" s="256" t="s">
        <v>79</v>
      </c>
      <c r="D32" s="256" t="s">
        <v>71</v>
      </c>
      <c r="E32" s="256" t="s">
        <v>78</v>
      </c>
      <c r="F32" s="265" t="s">
        <v>42</v>
      </c>
      <c r="G32" s="93"/>
    </row>
    <row r="33" spans="1:7" ht="14.25" x14ac:dyDescent="0.2">
      <c r="A33" s="93"/>
      <c r="B33" s="247" t="s">
        <v>80</v>
      </c>
      <c r="C33" s="263">
        <f>'Cattle data'!B21</f>
        <v>0</v>
      </c>
      <c r="D33" s="263">
        <f>'Cattle data'!C21</f>
        <v>5</v>
      </c>
      <c r="E33" s="263">
        <f>'Cattle data'!D21</f>
        <v>5</v>
      </c>
      <c r="F33" s="264">
        <f>'Cattle data'!E21</f>
        <v>0</v>
      </c>
      <c r="G33" s="93"/>
    </row>
    <row r="34" spans="1:7" ht="14.25" x14ac:dyDescent="0.2">
      <c r="A34" s="93"/>
      <c r="B34" s="90" t="s">
        <v>188</v>
      </c>
      <c r="C34" s="70">
        <f>'Cattle data'!B22+'Cattle data'!B24</f>
        <v>3.19</v>
      </c>
      <c r="D34" s="70">
        <f>'Cattle data'!C22+'Cattle data'!C24</f>
        <v>4.5999999999999996</v>
      </c>
      <c r="E34" s="70">
        <f>'Cattle data'!D22+'Cattle data'!D24</f>
        <v>3.03</v>
      </c>
      <c r="F34" s="107">
        <f>'Cattle data'!E22+'Cattle data'!E24</f>
        <v>0</v>
      </c>
      <c r="G34" s="93"/>
    </row>
    <row r="35" spans="1:7" ht="14.25" x14ac:dyDescent="0.2">
      <c r="A35" s="93"/>
      <c r="B35" s="90" t="s">
        <v>77</v>
      </c>
      <c r="C35" s="70">
        <f>'Cattle data'!B25</f>
        <v>6.82</v>
      </c>
      <c r="D35" s="70">
        <f>'Cattle data'!C25</f>
        <v>8</v>
      </c>
      <c r="E35" s="70">
        <f>'Cattle data'!D25</f>
        <v>8.6300000000000008</v>
      </c>
      <c r="F35" s="107">
        <f>'Cattle data'!E25</f>
        <v>0</v>
      </c>
      <c r="G35" s="93"/>
    </row>
    <row r="36" spans="1:7" ht="14.25" x14ac:dyDescent="0.2">
      <c r="A36" s="93"/>
      <c r="B36" s="90" t="s">
        <v>65</v>
      </c>
      <c r="C36" s="70">
        <f>'Cattle data'!B26</f>
        <v>0</v>
      </c>
      <c r="D36" s="70">
        <f>'Cattle data'!C26</f>
        <v>0</v>
      </c>
      <c r="E36" s="70">
        <f>'Cattle data'!D26</f>
        <v>3</v>
      </c>
      <c r="F36" s="107">
        <f>'Cattle data'!E26</f>
        <v>0</v>
      </c>
      <c r="G36" s="93"/>
    </row>
    <row r="37" spans="1:7" x14ac:dyDescent="0.25">
      <c r="A37" s="93"/>
      <c r="B37" s="90" t="s">
        <v>168</v>
      </c>
      <c r="C37" s="70"/>
      <c r="D37" s="70"/>
      <c r="E37" s="70"/>
      <c r="F37" s="107">
        <f>'Cattle data'!E28</f>
        <v>0</v>
      </c>
      <c r="G37" s="93"/>
    </row>
    <row r="38" spans="1:7" ht="14.4" thickBot="1" x14ac:dyDescent="0.3">
      <c r="A38" s="93"/>
      <c r="B38" s="93"/>
      <c r="C38" s="93"/>
      <c r="D38" s="93"/>
      <c r="E38" s="93"/>
      <c r="F38" s="93"/>
      <c r="G38" s="93"/>
    </row>
    <row r="39" spans="1:7" ht="14.4" thickBot="1" x14ac:dyDescent="0.3">
      <c r="A39" s="93"/>
      <c r="B39" s="243" t="s">
        <v>30</v>
      </c>
      <c r="C39" s="269">
        <f>'Cattle data'!B30</f>
        <v>10.01</v>
      </c>
      <c r="D39" s="269">
        <f>'Cattle data'!C30</f>
        <v>19.369999999999997</v>
      </c>
      <c r="E39" s="269">
        <f>'Cattle data'!D30</f>
        <v>19.660000000000004</v>
      </c>
      <c r="F39" s="270">
        <f>'Cattle data'!E30</f>
        <v>0</v>
      </c>
      <c r="G39" s="93"/>
    </row>
    <row r="40" spans="1:7" x14ac:dyDescent="0.25">
      <c r="A40" s="93"/>
      <c r="B40" s="93"/>
      <c r="C40" s="93"/>
      <c r="D40" s="93"/>
      <c r="E40" s="93"/>
      <c r="F40" s="93"/>
      <c r="G40" s="93"/>
    </row>
    <row r="41" spans="1:7" x14ac:dyDescent="0.25">
      <c r="A41" s="93"/>
      <c r="B41" s="89" t="s">
        <v>29</v>
      </c>
      <c r="C41" s="80">
        <f>'Cattle data'!B32</f>
        <v>3.1281249999999997E-2</v>
      </c>
      <c r="D41" s="80">
        <f>'Cattle data'!C32</f>
        <v>6.0531249999999995E-2</v>
      </c>
      <c r="E41" s="80">
        <f>'Cattle data'!D32</f>
        <v>6.1437500000000013E-2</v>
      </c>
      <c r="F41" s="80">
        <f>'Cattle data'!E32</f>
        <v>0</v>
      </c>
      <c r="G41" s="93"/>
    </row>
    <row r="42" spans="1:7" x14ac:dyDescent="0.25">
      <c r="A42" s="93"/>
      <c r="B42" s="93"/>
      <c r="C42" s="93"/>
      <c r="D42" s="93"/>
      <c r="E42" s="93"/>
      <c r="F42" s="93"/>
      <c r="G42" s="93"/>
    </row>
    <row r="43" spans="1:7" x14ac:dyDescent="0.25">
      <c r="A43" s="93"/>
      <c r="B43" s="89" t="s">
        <v>31</v>
      </c>
      <c r="C43" s="80">
        <f>'Cattle data'!B12</f>
        <v>3.3687187499999998</v>
      </c>
      <c r="D43" s="80">
        <f>'Cattle data'!C12</f>
        <v>3.55746875</v>
      </c>
      <c r="E43" s="80">
        <f>'Cattle data'!D12</f>
        <v>3.6085625000000006</v>
      </c>
      <c r="F43" s="80">
        <f>'Cattle data'!E12</f>
        <v>0</v>
      </c>
      <c r="G43" s="93"/>
    </row>
    <row r="44" spans="1:7" x14ac:dyDescent="0.25">
      <c r="A44" s="93"/>
      <c r="B44" s="93"/>
      <c r="C44" s="93"/>
      <c r="D44" s="93"/>
      <c r="E44" s="93"/>
      <c r="F44" s="93"/>
      <c r="G44" s="93"/>
    </row>
    <row r="45" spans="1:7" x14ac:dyDescent="0.25">
      <c r="A45" s="93"/>
      <c r="B45" s="89" t="s">
        <v>87</v>
      </c>
      <c r="C45" s="80">
        <f>'Cattle data'!B13</f>
        <v>1065.32</v>
      </c>
      <c r="D45" s="80">
        <f>'Cattle data'!C13</f>
        <v>1138.3900000000001</v>
      </c>
      <c r="E45" s="80">
        <f>'Cattle data'!D13</f>
        <v>1154.74</v>
      </c>
      <c r="F45" s="80">
        <f>'Cattle data'!E13</f>
        <v>0</v>
      </c>
      <c r="G45" s="93"/>
    </row>
    <row r="46" spans="1:7" ht="14.4" thickBot="1" x14ac:dyDescent="0.3">
      <c r="A46" s="93"/>
      <c r="B46" s="93"/>
      <c r="C46" s="93"/>
      <c r="D46" s="93"/>
      <c r="E46" s="93"/>
      <c r="F46" s="93"/>
      <c r="G46" s="93"/>
    </row>
    <row r="47" spans="1:7" ht="14.4" thickBot="1" x14ac:dyDescent="0.3">
      <c r="A47" s="93"/>
      <c r="B47" s="257" t="s">
        <v>192</v>
      </c>
      <c r="C47" s="268"/>
      <c r="D47" s="259">
        <f>$C$45/D45</f>
        <v>0.93581285851070362</v>
      </c>
      <c r="E47" s="259">
        <f t="shared" ref="E47" si="0">$C$45/E45</f>
        <v>0.9225626547967507</v>
      </c>
      <c r="F47" s="260" t="str">
        <f>IF(F45&gt;0,$C$45/F45,"")</f>
        <v/>
      </c>
      <c r="G47" s="93"/>
    </row>
    <row r="48" spans="1:7" x14ac:dyDescent="0.25">
      <c r="A48" s="93"/>
      <c r="B48" s="93"/>
      <c r="C48" s="93"/>
      <c r="D48" s="93"/>
      <c r="E48" s="93"/>
      <c r="F48" s="93"/>
      <c r="G48" s="93"/>
    </row>
    <row r="49" spans="1:7" x14ac:dyDescent="0.25">
      <c r="A49" s="93"/>
      <c r="B49" s="219" t="s">
        <v>189</v>
      </c>
      <c r="C49" s="80">
        <f>'Cattle data'!B27</f>
        <v>12.67</v>
      </c>
      <c r="D49" s="80">
        <f>'Cattle data'!C15</f>
        <v>103.625</v>
      </c>
      <c r="E49" s="80">
        <f>'Cattle data'!D15</f>
        <v>103.625</v>
      </c>
      <c r="F49" s="80">
        <f>'Cattle data'!E15</f>
        <v>103.97499999999999</v>
      </c>
      <c r="G49" s="93"/>
    </row>
    <row r="50" spans="1:7" x14ac:dyDescent="0.25">
      <c r="A50" s="93"/>
      <c r="B50" s="93"/>
      <c r="C50" s="93"/>
      <c r="D50" s="93"/>
      <c r="E50" s="93"/>
      <c r="F50" s="93"/>
      <c r="G50" s="93"/>
    </row>
    <row r="51" spans="1:7" x14ac:dyDescent="0.25">
      <c r="A51" s="93"/>
      <c r="B51" s="89" t="s">
        <v>140</v>
      </c>
      <c r="C51" s="80">
        <f>'Cattle data'!B17</f>
        <v>1065.32</v>
      </c>
      <c r="D51" s="80">
        <f>'Cattle data'!C17</f>
        <v>1034.7650000000001</v>
      </c>
      <c r="E51" s="80">
        <f>'Cattle data'!D17</f>
        <v>1051.115</v>
      </c>
      <c r="F51" s="80">
        <f>'Cattle data'!E17</f>
        <v>-103.97499999999999</v>
      </c>
      <c r="G51" s="93"/>
    </row>
    <row r="52" spans="1:7" ht="14.4" thickBot="1" x14ac:dyDescent="0.3">
      <c r="A52" s="93"/>
      <c r="B52" s="93"/>
      <c r="C52" s="93"/>
      <c r="D52" s="93"/>
      <c r="E52" s="93"/>
      <c r="F52" s="93"/>
      <c r="G52" s="93"/>
    </row>
    <row r="53" spans="1:7" ht="14.4" thickBot="1" x14ac:dyDescent="0.3">
      <c r="A53" s="93"/>
      <c r="B53" s="257" t="s">
        <v>192</v>
      </c>
      <c r="C53" s="268"/>
      <c r="D53" s="259">
        <f>$C$51/D51</f>
        <v>1.029528443656289</v>
      </c>
      <c r="E53" s="259">
        <f t="shared" ref="E53" si="1">$C$51/E51</f>
        <v>1.0135142206133485</v>
      </c>
      <c r="F53" s="260" t="str">
        <f>IF(F45&gt;0,$C$51/F51,"")</f>
        <v/>
      </c>
      <c r="G53" s="93"/>
    </row>
    <row r="54" spans="1:7" x14ac:dyDescent="0.25">
      <c r="A54" s="93"/>
      <c r="B54" s="93"/>
      <c r="C54" s="93"/>
      <c r="D54" s="93"/>
      <c r="E54" s="93"/>
      <c r="F54" s="93"/>
      <c r="G54" s="93"/>
    </row>
  </sheetData>
  <sheetProtection selectLockedCells="1"/>
  <mergeCells count="5">
    <mergeCell ref="B6:D6"/>
    <mergeCell ref="B3:C3"/>
    <mergeCell ref="B16:D16"/>
    <mergeCell ref="B7:D7"/>
    <mergeCell ref="B31:C31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'Cattle data'!$K$4:$K$11</xm:f>
          </x14:formula1>
          <xm:sqref>C14</xm:sqref>
        </x14:dataValidation>
        <x14:dataValidation type="list" allowBlank="1" showInputMessage="1" showErrorMessage="1">
          <x14:formula1>
            <xm:f>'Cattle data'!$D$35:$D$43</xm:f>
          </x14:formula1>
          <xm:sqref>C12</xm:sqref>
        </x14:dataValidation>
        <x14:dataValidation type="list" allowBlank="1" showInputMessage="1" showErrorMessage="1">
          <x14:formula1>
            <xm:f>'Cattle data'!$L$3:$R$3</xm:f>
          </x14:formula1>
          <xm:sqref>D14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1:AU65"/>
  <sheetViews>
    <sheetView topLeftCell="A25" workbookViewId="0">
      <selection activeCell="H10" sqref="H10"/>
    </sheetView>
  </sheetViews>
  <sheetFormatPr defaultRowHeight="13.8" x14ac:dyDescent="0.25"/>
  <cols>
    <col min="1" max="1" width="22.8984375" customWidth="1"/>
    <col min="2" max="2" width="11.59765625" customWidth="1"/>
    <col min="3" max="3" width="14.19921875" customWidth="1"/>
    <col min="6" max="6" width="6.19921875" customWidth="1"/>
    <col min="9" max="9" width="9.19921875" customWidth="1"/>
    <col min="11" max="11" width="14.09765625" customWidth="1"/>
    <col min="20" max="20" width="14.5" customWidth="1"/>
    <col min="37" max="44" width="7.796875" customWidth="1"/>
  </cols>
  <sheetData>
    <row r="1" spans="1:47" ht="14.25" customHeight="1" x14ac:dyDescent="0.25">
      <c r="A1" t="s">
        <v>185</v>
      </c>
      <c r="B1" s="234">
        <v>43176</v>
      </c>
      <c r="C1" t="s">
        <v>145</v>
      </c>
      <c r="D1" s="232">
        <v>11</v>
      </c>
      <c r="K1" t="s">
        <v>62</v>
      </c>
      <c r="T1" s="284" t="s">
        <v>176</v>
      </c>
      <c r="U1" s="401" t="s">
        <v>177</v>
      </c>
      <c r="V1" s="401"/>
      <c r="W1" s="401" t="s">
        <v>178</v>
      </c>
      <c r="X1" s="401"/>
      <c r="Y1" s="401" t="s">
        <v>179</v>
      </c>
      <c r="Z1" s="401"/>
      <c r="AA1" s="401" t="s">
        <v>180</v>
      </c>
      <c r="AB1" s="401"/>
      <c r="AC1" s="401" t="s">
        <v>181</v>
      </c>
      <c r="AD1" s="401"/>
      <c r="AE1">
        <v>377.4</v>
      </c>
      <c r="AG1">
        <v>370.1</v>
      </c>
    </row>
    <row r="2" spans="1:47" x14ac:dyDescent="0.25">
      <c r="A2" t="s">
        <v>187</v>
      </c>
      <c r="B2" s="313">
        <f>AA8</f>
        <v>4590</v>
      </c>
      <c r="K2" t="s">
        <v>50</v>
      </c>
      <c r="L2" s="214">
        <f>ROUND((U4+V4)/2,0)</f>
        <v>367</v>
      </c>
      <c r="T2" s="284"/>
      <c r="U2" s="7">
        <v>3</v>
      </c>
      <c r="V2" s="7" t="s">
        <v>7</v>
      </c>
      <c r="W2" s="7">
        <v>3</v>
      </c>
      <c r="X2" s="7" t="s">
        <v>7</v>
      </c>
      <c r="Y2" s="7">
        <v>3</v>
      </c>
      <c r="Z2" s="7" t="s">
        <v>7</v>
      </c>
      <c r="AA2" s="7">
        <v>3</v>
      </c>
      <c r="AB2" s="7" t="s">
        <v>7</v>
      </c>
      <c r="AC2" s="7">
        <v>3</v>
      </c>
      <c r="AD2" s="7" t="s">
        <v>7</v>
      </c>
      <c r="AE2">
        <v>370.5</v>
      </c>
      <c r="AG2">
        <v>361.8</v>
      </c>
      <c r="AU2">
        <v>362.9</v>
      </c>
    </row>
    <row r="3" spans="1:47" ht="14.25" customHeight="1" x14ac:dyDescent="0.25">
      <c r="A3" s="21" t="s">
        <v>15</v>
      </c>
      <c r="B3" s="233">
        <v>340</v>
      </c>
      <c r="E3" s="21"/>
      <c r="F3" s="21"/>
      <c r="G3" s="21"/>
      <c r="H3" s="20"/>
      <c r="K3" s="18"/>
      <c r="L3" s="43">
        <v>1</v>
      </c>
      <c r="M3" s="43">
        <v>2</v>
      </c>
      <c r="N3" s="43">
        <v>3</v>
      </c>
      <c r="O3" s="43" t="s">
        <v>7</v>
      </c>
      <c r="P3" s="43" t="s">
        <v>8</v>
      </c>
      <c r="Q3" s="43" t="s">
        <v>60</v>
      </c>
      <c r="R3" s="43" t="s">
        <v>61</v>
      </c>
      <c r="T3" s="8" t="s">
        <v>59</v>
      </c>
      <c r="U3" s="228">
        <v>370.2</v>
      </c>
      <c r="V3" s="8">
        <v>367.7</v>
      </c>
      <c r="W3" s="228"/>
      <c r="X3" s="8"/>
      <c r="Y3" s="228"/>
      <c r="Z3" s="8"/>
      <c r="AA3" s="228">
        <v>370.1</v>
      </c>
      <c r="AB3" s="8">
        <v>370.6</v>
      </c>
      <c r="AC3" s="228"/>
      <c r="AD3" s="8"/>
      <c r="AE3">
        <v>361</v>
      </c>
      <c r="AG3">
        <v>350.5</v>
      </c>
      <c r="AK3" s="46"/>
      <c r="AL3" s="46">
        <v>1</v>
      </c>
      <c r="AM3" s="46">
        <v>2</v>
      </c>
      <c r="AN3" s="46">
        <v>3</v>
      </c>
      <c r="AO3" s="46" t="s">
        <v>7</v>
      </c>
      <c r="AP3" s="46" t="s">
        <v>8</v>
      </c>
      <c r="AQ3" s="46" t="s">
        <v>60</v>
      </c>
      <c r="AR3" s="46" t="s">
        <v>61</v>
      </c>
      <c r="AU3">
        <v>360.9</v>
      </c>
    </row>
    <row r="4" spans="1:47" ht="14.25" customHeight="1" x14ac:dyDescent="0.25">
      <c r="A4" s="2" t="s">
        <v>21</v>
      </c>
      <c r="B4" s="4" t="str">
        <f>CONCATENATE(Cattle!C14,Cattle!D14)</f>
        <v>R3</v>
      </c>
      <c r="C4" s="21" t="s">
        <v>194</v>
      </c>
      <c r="D4" s="282">
        <v>0</v>
      </c>
      <c r="E4" s="21"/>
      <c r="F4" s="21"/>
      <c r="G4" s="21"/>
      <c r="H4" s="21"/>
      <c r="K4" s="18" t="s">
        <v>9</v>
      </c>
      <c r="L4" s="43">
        <f>$L$2+AL4</f>
        <v>347</v>
      </c>
      <c r="M4" s="43">
        <f t="shared" ref="M4:Q4" si="0">$L$2+AM4</f>
        <v>387</v>
      </c>
      <c r="N4" s="43">
        <f t="shared" si="0"/>
        <v>392</v>
      </c>
      <c r="O4" s="43">
        <f t="shared" si="0"/>
        <v>392</v>
      </c>
      <c r="P4" s="43">
        <f t="shared" si="0"/>
        <v>387</v>
      </c>
      <c r="Q4" s="43">
        <f t="shared" si="0"/>
        <v>352</v>
      </c>
      <c r="R4" s="43" t="s">
        <v>11</v>
      </c>
      <c r="T4" s="10" t="s">
        <v>11</v>
      </c>
      <c r="U4" s="307">
        <v>365.3</v>
      </c>
      <c r="V4" s="308">
        <v>368.2</v>
      </c>
      <c r="W4" s="9"/>
      <c r="X4" s="10"/>
      <c r="Y4" s="9"/>
      <c r="Z4" s="10"/>
      <c r="AA4" s="9">
        <v>361.8</v>
      </c>
      <c r="AB4" s="10">
        <v>372.7</v>
      </c>
      <c r="AC4" s="9"/>
      <c r="AD4" s="10"/>
      <c r="AE4">
        <v>330.4</v>
      </c>
      <c r="AG4">
        <v>320.7</v>
      </c>
      <c r="AK4" s="46" t="s">
        <v>9</v>
      </c>
      <c r="AL4" s="46">
        <v>-20</v>
      </c>
      <c r="AM4" s="363">
        <v>20</v>
      </c>
      <c r="AN4" s="363">
        <v>25</v>
      </c>
      <c r="AO4" s="363">
        <v>25</v>
      </c>
      <c r="AP4" s="363">
        <v>20</v>
      </c>
      <c r="AQ4" s="46">
        <v>-15</v>
      </c>
      <c r="AR4" s="46" t="s">
        <v>11</v>
      </c>
      <c r="AU4">
        <v>349.5</v>
      </c>
    </row>
    <row r="5" spans="1:47" ht="14.25" customHeight="1" x14ac:dyDescent="0.25">
      <c r="A5" s="2" t="s">
        <v>74</v>
      </c>
      <c r="B5" s="343">
        <f>Cattle!C10</f>
        <v>320</v>
      </c>
      <c r="C5" s="21"/>
      <c r="D5" s="21"/>
      <c r="E5" s="21"/>
      <c r="F5" s="21"/>
      <c r="G5" s="21"/>
      <c r="H5" s="21"/>
      <c r="K5" s="18" t="s">
        <v>54</v>
      </c>
      <c r="L5" s="43">
        <f t="shared" ref="L5:L11" si="1">$L$2+AL5</f>
        <v>347</v>
      </c>
      <c r="M5" s="306">
        <f t="shared" ref="M5:M11" si="2">$L$2+AM5</f>
        <v>381</v>
      </c>
      <c r="N5" s="306">
        <f t="shared" ref="N5:N11" si="3">$L$2+AN5</f>
        <v>385</v>
      </c>
      <c r="O5" s="306">
        <f t="shared" ref="O5:O11" si="4">$L$2+AO5</f>
        <v>385</v>
      </c>
      <c r="P5" s="306">
        <f t="shared" ref="P5:P11" si="5">$L$2+AP5</f>
        <v>381</v>
      </c>
      <c r="Q5" s="43">
        <f t="shared" ref="Q5:Q11" si="6">$L$2+AQ5</f>
        <v>352</v>
      </c>
      <c r="R5" s="43" t="s">
        <v>11</v>
      </c>
      <c r="T5" s="8" t="s">
        <v>55</v>
      </c>
      <c r="U5" s="228">
        <v>352.4</v>
      </c>
      <c r="V5" s="8">
        <v>358.5</v>
      </c>
      <c r="W5" s="228"/>
      <c r="X5" s="8"/>
      <c r="Y5" s="228"/>
      <c r="Z5" s="8"/>
      <c r="AA5" s="228">
        <v>350.5</v>
      </c>
      <c r="AB5" s="402">
        <v>359.2</v>
      </c>
      <c r="AC5" s="228"/>
      <c r="AD5" s="8"/>
      <c r="AE5">
        <v>377.1</v>
      </c>
      <c r="AG5">
        <v>370.6</v>
      </c>
      <c r="AK5" s="46" t="s">
        <v>54</v>
      </c>
      <c r="AL5" s="46">
        <v>-20</v>
      </c>
      <c r="AM5" s="363">
        <v>14</v>
      </c>
      <c r="AN5" s="363">
        <v>18</v>
      </c>
      <c r="AO5" s="363">
        <v>18</v>
      </c>
      <c r="AP5" s="363">
        <v>14</v>
      </c>
      <c r="AQ5" s="46">
        <v>-15</v>
      </c>
      <c r="AR5" s="46" t="s">
        <v>11</v>
      </c>
      <c r="AU5">
        <v>319.10000000000002</v>
      </c>
    </row>
    <row r="6" spans="1:47" ht="14.25" customHeight="1" x14ac:dyDescent="0.25">
      <c r="F6" s="21"/>
      <c r="G6" s="21"/>
      <c r="H6" s="21"/>
      <c r="K6" s="18" t="s">
        <v>59</v>
      </c>
      <c r="L6" s="43">
        <f t="shared" si="1"/>
        <v>342</v>
      </c>
      <c r="M6" s="306">
        <f t="shared" si="2"/>
        <v>375</v>
      </c>
      <c r="N6" s="306">
        <f t="shared" si="3"/>
        <v>377</v>
      </c>
      <c r="O6" s="306">
        <f t="shared" si="4"/>
        <v>377</v>
      </c>
      <c r="P6" s="306">
        <f t="shared" si="5"/>
        <v>374</v>
      </c>
      <c r="Q6" s="43">
        <f t="shared" si="6"/>
        <v>347</v>
      </c>
      <c r="R6" s="43" t="s">
        <v>11</v>
      </c>
      <c r="T6" s="10" t="s">
        <v>58</v>
      </c>
      <c r="U6" s="9">
        <v>323.39999999999998</v>
      </c>
      <c r="V6" s="10">
        <v>323.89999999999998</v>
      </c>
      <c r="W6" s="9"/>
      <c r="X6" s="10"/>
      <c r="Y6" s="9"/>
      <c r="Z6" s="10"/>
      <c r="AA6" s="9">
        <v>320.7</v>
      </c>
      <c r="AB6" s="9">
        <v>323.10000000000002</v>
      </c>
      <c r="AC6" s="9"/>
      <c r="AD6" s="10"/>
      <c r="AE6">
        <v>378.9</v>
      </c>
      <c r="AG6">
        <v>372.7</v>
      </c>
      <c r="AK6" s="46" t="s">
        <v>59</v>
      </c>
      <c r="AL6" s="46">
        <v>-25</v>
      </c>
      <c r="AM6" s="363">
        <v>8</v>
      </c>
      <c r="AN6" s="363">
        <v>10</v>
      </c>
      <c r="AO6" s="363">
        <v>10</v>
      </c>
      <c r="AP6" s="363">
        <v>7</v>
      </c>
      <c r="AQ6" s="46">
        <v>-20</v>
      </c>
      <c r="AR6" s="46" t="s">
        <v>11</v>
      </c>
      <c r="AU6">
        <v>366.3</v>
      </c>
    </row>
    <row r="7" spans="1:47" ht="15" customHeight="1" x14ac:dyDescent="0.25">
      <c r="A7" s="2"/>
      <c r="B7" s="4" t="s">
        <v>15</v>
      </c>
      <c r="C7" s="4" t="s">
        <v>20</v>
      </c>
      <c r="D7" s="102" t="s">
        <v>78</v>
      </c>
      <c r="E7" s="46" t="s">
        <v>97</v>
      </c>
      <c r="F7" s="21"/>
      <c r="G7" s="21"/>
      <c r="H7" s="21"/>
      <c r="K7" s="18" t="s">
        <v>11</v>
      </c>
      <c r="L7" s="43">
        <f t="shared" si="1"/>
        <v>342</v>
      </c>
      <c r="M7" s="306">
        <f t="shared" si="2"/>
        <v>365</v>
      </c>
      <c r="N7" s="281">
        <f t="shared" si="3"/>
        <v>367</v>
      </c>
      <c r="O7" s="281">
        <f t="shared" si="4"/>
        <v>367</v>
      </c>
      <c r="P7" s="306">
        <f t="shared" si="5"/>
        <v>363</v>
      </c>
      <c r="Q7" s="43">
        <f t="shared" si="6"/>
        <v>342</v>
      </c>
      <c r="R7" s="43" t="s">
        <v>11</v>
      </c>
      <c r="T7" s="8" t="s">
        <v>182</v>
      </c>
      <c r="U7" s="8">
        <v>357.5</v>
      </c>
      <c r="V7" s="331">
        <v>1.7999999999999999E-2</v>
      </c>
      <c r="W7" s="8"/>
      <c r="X7" s="8"/>
      <c r="Y7" s="8"/>
      <c r="Z7" s="8"/>
      <c r="AA7" s="228">
        <v>358.4</v>
      </c>
      <c r="AB7" s="332">
        <v>0.02</v>
      </c>
      <c r="AC7" s="8"/>
      <c r="AD7" s="8"/>
      <c r="AE7">
        <v>329.3</v>
      </c>
      <c r="AG7">
        <v>323.10000000000002</v>
      </c>
      <c r="AK7" s="46" t="s">
        <v>11</v>
      </c>
      <c r="AL7" s="46">
        <v>-25</v>
      </c>
      <c r="AM7" s="363">
        <v>-2</v>
      </c>
      <c r="AN7" s="362"/>
      <c r="AO7" s="362"/>
      <c r="AP7" s="363">
        <v>-4</v>
      </c>
      <c r="AQ7" s="46">
        <v>-25</v>
      </c>
      <c r="AR7" s="46" t="s">
        <v>11</v>
      </c>
      <c r="AU7">
        <v>366.3</v>
      </c>
    </row>
    <row r="8" spans="1:47" ht="15" customHeight="1" x14ac:dyDescent="0.25">
      <c r="A8" s="2" t="s">
        <v>82</v>
      </c>
      <c r="B8" s="2">
        <f>VLOOKUP(Cattle!C14,'Cattle data'!K15:R23, MATCH(Cattle!D14,'Cattle data'!K15:R15,0),0)</f>
        <v>340</v>
      </c>
      <c r="C8" s="2">
        <f>VLOOKUP(Cattle!C14,K26:R34, MATCH(Cattle!D14,K26:R26,0),0)</f>
        <v>361.8</v>
      </c>
      <c r="D8" s="54">
        <f>VLOOKUP(Cattle!C14,K3:R11, MATCH(Cattle!D14,K3:R3,0),0)</f>
        <v>367</v>
      </c>
      <c r="E8" s="211">
        <f>Cattle!C11</f>
        <v>0</v>
      </c>
      <c r="F8" s="21"/>
      <c r="G8" s="21"/>
      <c r="H8" s="21"/>
      <c r="K8" s="18" t="s">
        <v>55</v>
      </c>
      <c r="L8" s="43">
        <f t="shared" si="1"/>
        <v>337</v>
      </c>
      <c r="M8" s="43">
        <f t="shared" si="2"/>
        <v>355</v>
      </c>
      <c r="N8" s="43">
        <f t="shared" si="3"/>
        <v>357</v>
      </c>
      <c r="O8" s="43">
        <f t="shared" si="4"/>
        <v>357</v>
      </c>
      <c r="P8" s="43">
        <f t="shared" si="5"/>
        <v>352</v>
      </c>
      <c r="Q8" s="43">
        <f t="shared" si="6"/>
        <v>332</v>
      </c>
      <c r="R8" s="43" t="s">
        <v>11</v>
      </c>
      <c r="T8" s="231" t="s">
        <v>183</v>
      </c>
      <c r="U8" s="311">
        <v>15684</v>
      </c>
      <c r="V8" s="331">
        <v>3.0000000000000001E-3</v>
      </c>
      <c r="W8" s="228"/>
      <c r="X8" s="230"/>
      <c r="Y8" s="228"/>
      <c r="Z8" s="283"/>
      <c r="AA8" s="312">
        <v>4590</v>
      </c>
      <c r="AB8" s="331">
        <v>3.1E-2</v>
      </c>
      <c r="AC8" s="228"/>
      <c r="AD8" s="230"/>
      <c r="AE8">
        <v>367.8</v>
      </c>
      <c r="AK8" s="46" t="s">
        <v>55</v>
      </c>
      <c r="AL8" s="46">
        <v>-30</v>
      </c>
      <c r="AM8" s="363">
        <v>-12</v>
      </c>
      <c r="AN8" s="363">
        <v>-10</v>
      </c>
      <c r="AO8" s="363">
        <v>-10</v>
      </c>
      <c r="AP8" s="363">
        <v>-15</v>
      </c>
      <c r="AQ8" s="46">
        <v>-35</v>
      </c>
      <c r="AR8" s="46" t="s">
        <v>11</v>
      </c>
      <c r="AU8">
        <v>322.2</v>
      </c>
    </row>
    <row r="9" spans="1:47" x14ac:dyDescent="0.25">
      <c r="A9" s="2" t="s">
        <v>83</v>
      </c>
      <c r="B9" s="2">
        <f>IF(B5&lt;'Cattle data'!B35,"Realisatiion",IF(B5&lt;'Cattle data'!B36,'Cattle data'!B8-C36,IF(B5&gt;(B38-1),B8-C38,IF(B5&gt;(B37-1),B8-C37,'Cattle data'!B8))))</f>
        <v>340</v>
      </c>
      <c r="C9" s="2">
        <f>C8</f>
        <v>361.8</v>
      </c>
      <c r="D9" s="54">
        <f>IF(B5&lt;B41,"Realisation",IF(B5&lt;B42,D8-C42,IF(B5&lt;B43,D8-C43,IF(B5&lt;B44,D8-C44,IF(B5&lt;B45,D8-C45,IF(B5&lt;B46,D8-C46,IF(B5&lt;B47,D8-C47,IF(B5&lt;B48,D8-C48,IF(B5&lt;B49,D8-C49,IF(B5&gt;B50,D8-C50,IF(B5&gt;B51,D8-C51,D8)))))))))))</f>
        <v>367</v>
      </c>
      <c r="E9" s="18">
        <f>E8</f>
        <v>0</v>
      </c>
      <c r="F9" s="21"/>
      <c r="G9" s="21"/>
      <c r="H9" s="21"/>
      <c r="K9" s="18" t="s">
        <v>58</v>
      </c>
      <c r="L9" s="43">
        <f t="shared" si="1"/>
        <v>307</v>
      </c>
      <c r="M9" s="43">
        <f t="shared" si="2"/>
        <v>327</v>
      </c>
      <c r="N9" s="43">
        <f t="shared" si="3"/>
        <v>332</v>
      </c>
      <c r="O9" s="43">
        <f t="shared" si="4"/>
        <v>332</v>
      </c>
      <c r="P9" s="43">
        <f t="shared" si="5"/>
        <v>327</v>
      </c>
      <c r="Q9" s="43">
        <f t="shared" si="6"/>
        <v>317</v>
      </c>
      <c r="R9" s="43" t="s">
        <v>11</v>
      </c>
      <c r="T9" s="227"/>
      <c r="U9" s="228"/>
      <c r="V9" s="229"/>
      <c r="W9" s="228"/>
      <c r="X9" s="229"/>
      <c r="Y9" s="228"/>
      <c r="Z9" s="229"/>
      <c r="AA9" s="228"/>
      <c r="AB9" s="85"/>
      <c r="AC9" s="228"/>
      <c r="AD9" s="230"/>
      <c r="AK9" s="46" t="s">
        <v>58</v>
      </c>
      <c r="AL9" s="46">
        <v>-60</v>
      </c>
      <c r="AM9" s="363">
        <v>-40</v>
      </c>
      <c r="AN9" s="363">
        <v>-35</v>
      </c>
      <c r="AO9" s="363">
        <v>-35</v>
      </c>
      <c r="AP9" s="363">
        <v>-40</v>
      </c>
      <c r="AQ9" s="46">
        <v>-50</v>
      </c>
      <c r="AR9" s="46" t="s">
        <v>11</v>
      </c>
      <c r="AU9">
        <v>357.9</v>
      </c>
    </row>
    <row r="10" spans="1:47" x14ac:dyDescent="0.25">
      <c r="A10" s="2" t="s">
        <v>84</v>
      </c>
      <c r="B10" s="2">
        <f>IF(B5&gt;B39,(B39*B9)/100,(B5*B9)/100)</f>
        <v>1088</v>
      </c>
      <c r="C10" s="2">
        <f>C9*B5/100</f>
        <v>1157.76</v>
      </c>
      <c r="D10" s="54">
        <f>IF(B5&gt;B52,(D9*B52)/100,(B5*D9)/100)</f>
        <v>1174.4000000000001</v>
      </c>
      <c r="E10" s="2">
        <f>E8*B5/100</f>
        <v>0</v>
      </c>
      <c r="F10" s="21"/>
      <c r="G10" s="21"/>
      <c r="H10" s="21"/>
      <c r="K10" s="18" t="s">
        <v>56</v>
      </c>
      <c r="L10" s="43" t="e">
        <f t="shared" si="1"/>
        <v>#VALUE!</v>
      </c>
      <c r="M10" s="43">
        <f t="shared" si="2"/>
        <v>287</v>
      </c>
      <c r="N10" s="43">
        <f t="shared" si="3"/>
        <v>302</v>
      </c>
      <c r="O10" s="43">
        <f t="shared" si="4"/>
        <v>302</v>
      </c>
      <c r="P10" s="43">
        <f t="shared" si="5"/>
        <v>287</v>
      </c>
      <c r="Q10" s="43">
        <f t="shared" si="6"/>
        <v>267</v>
      </c>
      <c r="R10" s="43" t="s">
        <v>11</v>
      </c>
      <c r="T10" s="285" t="s">
        <v>209</v>
      </c>
      <c r="AK10" s="46" t="s">
        <v>56</v>
      </c>
      <c r="AL10" s="46" t="s">
        <v>11</v>
      </c>
      <c r="AM10" s="363">
        <v>-80</v>
      </c>
      <c r="AN10" s="363">
        <v>-65</v>
      </c>
      <c r="AO10" s="363">
        <v>-65</v>
      </c>
      <c r="AP10" s="363">
        <v>-80</v>
      </c>
      <c r="AQ10" s="46">
        <v>-100</v>
      </c>
      <c r="AR10" s="46" t="s">
        <v>11</v>
      </c>
    </row>
    <row r="11" spans="1:47" x14ac:dyDescent="0.25">
      <c r="A11" s="40" t="s">
        <v>85</v>
      </c>
      <c r="B11" s="2">
        <f>B10/$B$5</f>
        <v>3.4</v>
      </c>
      <c r="C11" s="2">
        <f>C10/$B$5</f>
        <v>3.6179999999999999</v>
      </c>
      <c r="D11" s="2">
        <f>D10/$B$5</f>
        <v>3.6700000000000004</v>
      </c>
      <c r="E11" s="2">
        <f>E10/$B$5</f>
        <v>0</v>
      </c>
      <c r="F11" s="21"/>
      <c r="G11" s="21"/>
      <c r="H11" s="21"/>
      <c r="K11" s="18" t="s">
        <v>57</v>
      </c>
      <c r="L11" s="43" t="e">
        <f t="shared" si="1"/>
        <v>#VALUE!</v>
      </c>
      <c r="M11" s="43">
        <f t="shared" si="2"/>
        <v>267</v>
      </c>
      <c r="N11" s="43">
        <f t="shared" si="3"/>
        <v>287</v>
      </c>
      <c r="O11" s="43">
        <f t="shared" si="4"/>
        <v>287</v>
      </c>
      <c r="P11" s="43" t="e">
        <f t="shared" si="5"/>
        <v>#VALUE!</v>
      </c>
      <c r="Q11" s="43" t="e">
        <f t="shared" si="6"/>
        <v>#VALUE!</v>
      </c>
      <c r="R11" s="43" t="s">
        <v>11</v>
      </c>
      <c r="AK11" s="46" t="s">
        <v>57</v>
      </c>
      <c r="AL11" s="46" t="s">
        <v>11</v>
      </c>
      <c r="AM11" s="363">
        <v>-100</v>
      </c>
      <c r="AN11" s="363">
        <v>-80</v>
      </c>
      <c r="AO11" s="363">
        <v>-80</v>
      </c>
      <c r="AP11" s="363" t="s">
        <v>11</v>
      </c>
      <c r="AQ11" s="46" t="s">
        <v>11</v>
      </c>
      <c r="AR11" s="46" t="s">
        <v>11</v>
      </c>
    </row>
    <row r="12" spans="1:47" x14ac:dyDescent="0.25">
      <c r="A12" s="40" t="s">
        <v>86</v>
      </c>
      <c r="B12" s="41">
        <f>B11-B32</f>
        <v>3.3687187499999998</v>
      </c>
      <c r="C12" s="41">
        <f>C11-C32</f>
        <v>3.55746875</v>
      </c>
      <c r="D12" s="41">
        <f>D11-D32</f>
        <v>3.6085625000000006</v>
      </c>
      <c r="E12" s="41">
        <f>E11-E32</f>
        <v>0</v>
      </c>
      <c r="F12" s="19"/>
      <c r="G12" s="19"/>
      <c r="H12" s="19"/>
      <c r="K12" s="45"/>
      <c r="L12" s="45"/>
      <c r="M12" s="45"/>
      <c r="N12" s="45"/>
      <c r="O12" s="45"/>
      <c r="P12" s="45"/>
      <c r="Q12" s="45"/>
      <c r="R12" s="45"/>
    </row>
    <row r="13" spans="1:47" ht="14.25" x14ac:dyDescent="0.2">
      <c r="A13" s="40" t="s">
        <v>88</v>
      </c>
      <c r="B13" s="41">
        <f>B10-B30-B27</f>
        <v>1065.32</v>
      </c>
      <c r="C13" s="41">
        <f>C10-C30</f>
        <v>1138.3900000000001</v>
      </c>
      <c r="D13" s="41">
        <f>D10-D30</f>
        <v>1154.74</v>
      </c>
      <c r="E13" s="41">
        <f>E10-E30</f>
        <v>0</v>
      </c>
      <c r="K13" s="45" t="s">
        <v>15</v>
      </c>
      <c r="L13" s="45"/>
      <c r="M13" s="45"/>
      <c r="N13" s="45"/>
      <c r="O13" s="45"/>
      <c r="P13" s="45"/>
      <c r="Q13" s="45"/>
      <c r="R13" s="45"/>
    </row>
    <row r="14" spans="1:47" x14ac:dyDescent="0.25">
      <c r="C14" s="56">
        <f>B13/C13</f>
        <v>0.93581285851070362</v>
      </c>
      <c r="D14" s="56">
        <f>B13/D13</f>
        <v>0.9225626547967507</v>
      </c>
      <c r="E14" s="57" t="e">
        <f>B13/Cattle!F45</f>
        <v>#DIV/0!</v>
      </c>
      <c r="K14" s="45" t="s">
        <v>50</v>
      </c>
      <c r="L14" s="45">
        <f>B3</f>
        <v>340</v>
      </c>
      <c r="M14" s="45"/>
      <c r="N14" s="45"/>
      <c r="O14" s="45"/>
      <c r="P14" s="45"/>
      <c r="Q14" s="45"/>
      <c r="R14" s="45"/>
    </row>
    <row r="15" spans="1:47" x14ac:dyDescent="0.25">
      <c r="A15" t="s">
        <v>139</v>
      </c>
      <c r="B15" s="14"/>
      <c r="C15" s="14">
        <f>D15</f>
        <v>103.625</v>
      </c>
      <c r="D15" s="14">
        <f>'Cattle export'!I50</f>
        <v>103.625</v>
      </c>
      <c r="E15" s="14">
        <f>'Cattle export'!J50</f>
        <v>103.97499999999999</v>
      </c>
      <c r="K15" s="43"/>
      <c r="L15" s="43">
        <v>1</v>
      </c>
      <c r="M15" s="43">
        <v>2</v>
      </c>
      <c r="N15" s="43">
        <v>3</v>
      </c>
      <c r="O15" s="43" t="s">
        <v>7</v>
      </c>
      <c r="P15" s="43" t="s">
        <v>8</v>
      </c>
      <c r="Q15" s="43" t="s">
        <v>60</v>
      </c>
      <c r="R15" s="43" t="s">
        <v>61</v>
      </c>
      <c r="U15" s="19">
        <v>3</v>
      </c>
      <c r="V15" s="19" t="s">
        <v>7</v>
      </c>
    </row>
    <row r="16" spans="1:47" x14ac:dyDescent="0.25">
      <c r="B16" s="14"/>
      <c r="C16" s="14"/>
      <c r="D16" s="14"/>
      <c r="E16" s="14"/>
      <c r="K16" s="43" t="s">
        <v>9</v>
      </c>
      <c r="L16" s="43">
        <f t="shared" ref="L16:L21" si="7">$L$14-95</f>
        <v>245</v>
      </c>
      <c r="M16" s="305">
        <f>$L$14-3</f>
        <v>337</v>
      </c>
      <c r="N16" s="44">
        <f>$L$14+7+D4</f>
        <v>347</v>
      </c>
      <c r="O16" s="44">
        <f>$L$14+7+D4</f>
        <v>347</v>
      </c>
      <c r="P16" s="281">
        <v>325</v>
      </c>
      <c r="Q16" s="43">
        <f t="shared" ref="Q16:R18" si="8">$L$14-129</f>
        <v>211</v>
      </c>
      <c r="R16" s="43">
        <f t="shared" si="8"/>
        <v>211</v>
      </c>
      <c r="T16" s="8" t="s">
        <v>59</v>
      </c>
      <c r="U16" s="344">
        <f>AA3-N18</f>
        <v>30.100000000000023</v>
      </c>
      <c r="V16" s="344">
        <f>AB3-O18</f>
        <v>30.600000000000023</v>
      </c>
    </row>
    <row r="17" spans="1:22" x14ac:dyDescent="0.25">
      <c r="A17" t="s">
        <v>140</v>
      </c>
      <c r="B17" s="14">
        <f>B13</f>
        <v>1065.32</v>
      </c>
      <c r="C17" s="14">
        <f>C13-C15</f>
        <v>1034.7650000000001</v>
      </c>
      <c r="D17" s="14">
        <f>D13-D15</f>
        <v>1051.115</v>
      </c>
      <c r="E17" s="14">
        <f>E13-E15</f>
        <v>-103.97499999999999</v>
      </c>
      <c r="K17" s="43" t="s">
        <v>54</v>
      </c>
      <c r="L17" s="43">
        <f t="shared" si="7"/>
        <v>245</v>
      </c>
      <c r="M17" s="305">
        <f>$L$14-3</f>
        <v>337</v>
      </c>
      <c r="N17" s="44">
        <f>$L$14+7+D4</f>
        <v>347</v>
      </c>
      <c r="O17" s="44">
        <f>$L$14+7+D4</f>
        <v>347</v>
      </c>
      <c r="P17" s="281">
        <v>325</v>
      </c>
      <c r="Q17" s="43">
        <f t="shared" si="8"/>
        <v>211</v>
      </c>
      <c r="R17" s="43">
        <f t="shared" si="8"/>
        <v>211</v>
      </c>
      <c r="T17" s="10" t="s">
        <v>11</v>
      </c>
      <c r="U17" s="344">
        <f t="shared" ref="U17:V17" si="9">AA4-N19</f>
        <v>21.800000000000011</v>
      </c>
      <c r="V17" s="344">
        <f t="shared" si="9"/>
        <v>32.699999999999989</v>
      </c>
    </row>
    <row r="18" spans="1:22" x14ac:dyDescent="0.25">
      <c r="K18" s="43" t="s">
        <v>59</v>
      </c>
      <c r="L18" s="43">
        <f t="shared" si="7"/>
        <v>245</v>
      </c>
      <c r="M18" s="305">
        <f>$L$14-10</f>
        <v>330</v>
      </c>
      <c r="N18" s="44">
        <f>$L$14+D4</f>
        <v>340</v>
      </c>
      <c r="O18" s="44">
        <f>$L$14+D4</f>
        <v>340</v>
      </c>
      <c r="P18" s="281">
        <v>325</v>
      </c>
      <c r="Q18" s="43">
        <f t="shared" si="8"/>
        <v>211</v>
      </c>
      <c r="R18" s="43">
        <f t="shared" si="8"/>
        <v>211</v>
      </c>
      <c r="T18" s="8" t="s">
        <v>55</v>
      </c>
      <c r="U18" s="344">
        <f t="shared" ref="U18:V18" si="10">AA5-N20</f>
        <v>20.5</v>
      </c>
      <c r="V18" s="344">
        <f>AB6-O20</f>
        <v>-6.8999999999999773</v>
      </c>
    </row>
    <row r="19" spans="1:22" x14ac:dyDescent="0.25">
      <c r="E19" s="2"/>
      <c r="K19" s="43" t="s">
        <v>11</v>
      </c>
      <c r="L19" s="43">
        <f t="shared" si="7"/>
        <v>245</v>
      </c>
      <c r="M19" s="305">
        <f>$L$14-10</f>
        <v>330</v>
      </c>
      <c r="N19" s="44">
        <f>$L$14+D4</f>
        <v>340</v>
      </c>
      <c r="O19" s="44">
        <f>$L$14+D4</f>
        <v>340</v>
      </c>
      <c r="P19" s="281">
        <v>325</v>
      </c>
      <c r="Q19" s="43">
        <f>$L$14-129</f>
        <v>211</v>
      </c>
      <c r="R19" s="43">
        <f>$L$14-163</f>
        <v>177</v>
      </c>
      <c r="T19" s="10" t="s">
        <v>58</v>
      </c>
      <c r="U19" s="344">
        <f t="shared" ref="U19:V19" si="11">AA6-N21</f>
        <v>16.699999999999989</v>
      </c>
      <c r="V19" s="344" t="e">
        <f>#REF!-O21</f>
        <v>#REF!</v>
      </c>
    </row>
    <row r="20" spans="1:22" ht="14.4" thickBot="1" x14ac:dyDescent="0.3">
      <c r="A20" s="2"/>
      <c r="B20" s="4" t="s">
        <v>15</v>
      </c>
      <c r="C20" s="4" t="s">
        <v>20</v>
      </c>
      <c r="D20" s="102" t="s">
        <v>62</v>
      </c>
      <c r="E20" s="2"/>
      <c r="K20" s="43" t="s">
        <v>55</v>
      </c>
      <c r="L20" s="43">
        <f t="shared" si="7"/>
        <v>245</v>
      </c>
      <c r="M20" s="43">
        <v>315</v>
      </c>
      <c r="N20" s="305">
        <f>$L$14-10</f>
        <v>330</v>
      </c>
      <c r="O20" s="305">
        <f>$L$14-10</f>
        <v>330</v>
      </c>
      <c r="P20" s="306">
        <v>310</v>
      </c>
      <c r="Q20" s="43">
        <f>$L$14-129</f>
        <v>211</v>
      </c>
      <c r="R20" s="43">
        <f>$L$14-163</f>
        <v>177</v>
      </c>
    </row>
    <row r="21" spans="1:22" x14ac:dyDescent="0.25">
      <c r="A21" s="2" t="s">
        <v>80</v>
      </c>
      <c r="B21" s="41"/>
      <c r="C21" s="41">
        <v>5</v>
      </c>
      <c r="D21" s="55">
        <v>5</v>
      </c>
      <c r="E21" s="2">
        <f>Cattle!C17</f>
        <v>0</v>
      </c>
      <c r="K21" s="43" t="s">
        <v>58</v>
      </c>
      <c r="L21" s="43">
        <f t="shared" si="7"/>
        <v>245</v>
      </c>
      <c r="M21" s="43">
        <f>$L$14-46</f>
        <v>294</v>
      </c>
      <c r="N21" s="43">
        <f>$L$14-36</f>
        <v>304</v>
      </c>
      <c r="O21" s="43">
        <f>$L$14-36</f>
        <v>304</v>
      </c>
      <c r="P21" s="43">
        <f>$L$14-77</f>
        <v>263</v>
      </c>
      <c r="Q21" s="43">
        <f>$L$14-129</f>
        <v>211</v>
      </c>
      <c r="R21" s="43">
        <f>$L$14-163</f>
        <v>177</v>
      </c>
      <c r="T21" s="58"/>
      <c r="U21" s="338">
        <v>3</v>
      </c>
      <c r="V21" s="339" t="s">
        <v>7</v>
      </c>
    </row>
    <row r="22" spans="1:22" x14ac:dyDescent="0.25">
      <c r="A22" s="2" t="s">
        <v>81</v>
      </c>
      <c r="C22" s="41">
        <v>1.77</v>
      </c>
      <c r="D22" s="55">
        <v>0.9</v>
      </c>
      <c r="E22" s="2">
        <f>Cattle!C18</f>
        <v>0</v>
      </c>
      <c r="K22" s="43" t="s">
        <v>56</v>
      </c>
      <c r="L22" s="43">
        <f>$L$14-124</f>
        <v>216</v>
      </c>
      <c r="M22" s="43">
        <f>$L$14-99</f>
        <v>241</v>
      </c>
      <c r="N22" s="43">
        <f>$L$14-89</f>
        <v>251</v>
      </c>
      <c r="O22" s="43">
        <f>$L$14-89</f>
        <v>251</v>
      </c>
      <c r="P22" s="43">
        <f>$L$14-89</f>
        <v>251</v>
      </c>
      <c r="Q22" s="43">
        <f>$L$14-129</f>
        <v>211</v>
      </c>
      <c r="R22" s="43">
        <f>$L$14-163</f>
        <v>177</v>
      </c>
      <c r="T22" s="345" t="s">
        <v>59</v>
      </c>
      <c r="U22" s="41">
        <f>U16*$B$5/100</f>
        <v>96.320000000000078</v>
      </c>
      <c r="V22" s="346">
        <f>V16*$B$5/100</f>
        <v>97.920000000000073</v>
      </c>
    </row>
    <row r="23" spans="1:22" ht="14.4" thickBot="1" x14ac:dyDescent="0.3">
      <c r="A23" s="220" t="s">
        <v>81</v>
      </c>
      <c r="B23" s="221"/>
      <c r="C23" s="221">
        <v>1.77</v>
      </c>
      <c r="D23" s="222"/>
      <c r="E23" s="220">
        <f>Cattle!C19</f>
        <v>0</v>
      </c>
      <c r="K23" s="43" t="s">
        <v>57</v>
      </c>
      <c r="L23" s="43">
        <f>$L$14-163</f>
        <v>177</v>
      </c>
      <c r="M23" s="43">
        <f>$L$14-173</f>
        <v>167</v>
      </c>
      <c r="N23" s="43">
        <f>$L$14-163</f>
        <v>177</v>
      </c>
      <c r="O23" s="43">
        <f>$L$14-163</f>
        <v>177</v>
      </c>
      <c r="P23" s="43">
        <f>$L$14-151</f>
        <v>189</v>
      </c>
      <c r="Q23" s="43">
        <f>$L$14-163</f>
        <v>177</v>
      </c>
      <c r="R23" s="43">
        <f>$L$14-163</f>
        <v>177</v>
      </c>
      <c r="T23" s="349" t="s">
        <v>11</v>
      </c>
      <c r="U23" s="41">
        <f t="shared" ref="U23:V23" si="12">U17*$B$5/100</f>
        <v>69.760000000000034</v>
      </c>
      <c r="V23" s="346">
        <f t="shared" si="12"/>
        <v>104.63999999999996</v>
      </c>
    </row>
    <row r="24" spans="1:22" x14ac:dyDescent="0.25">
      <c r="A24" s="2" t="s">
        <v>63</v>
      </c>
      <c r="B24" s="41">
        <v>3.19</v>
      </c>
      <c r="C24" s="41">
        <v>2.83</v>
      </c>
      <c r="D24" s="55">
        <v>2.13</v>
      </c>
      <c r="E24" s="2">
        <f>Cattle!C21</f>
        <v>0</v>
      </c>
      <c r="G24" s="58" t="s">
        <v>63</v>
      </c>
      <c r="H24" s="59"/>
      <c r="K24" s="45"/>
      <c r="L24" s="45"/>
      <c r="M24" s="45"/>
      <c r="N24" s="45"/>
      <c r="O24" s="45"/>
      <c r="P24" s="45"/>
      <c r="Q24" s="45"/>
      <c r="R24" s="45"/>
      <c r="T24" s="349" t="s">
        <v>55</v>
      </c>
      <c r="U24" s="41">
        <f t="shared" ref="U24:V24" si="13">U18*$B$5/100</f>
        <v>65.599999999999994</v>
      </c>
      <c r="V24" s="346">
        <f t="shared" si="13"/>
        <v>-22.079999999999927</v>
      </c>
    </row>
    <row r="25" spans="1:22" ht="14.4" thickBot="1" x14ac:dyDescent="0.3">
      <c r="A25" s="2" t="s">
        <v>64</v>
      </c>
      <c r="B25" s="41">
        <v>6.82</v>
      </c>
      <c r="C25" s="41">
        <v>8</v>
      </c>
      <c r="D25" s="55">
        <v>8.6300000000000008</v>
      </c>
      <c r="E25" s="2">
        <f>Cattle!C22</f>
        <v>0</v>
      </c>
      <c r="G25" s="16" t="s">
        <v>68</v>
      </c>
      <c r="H25" s="17">
        <v>5</v>
      </c>
      <c r="K25" s="45" t="s">
        <v>184</v>
      </c>
      <c r="L25" s="45">
        <f>AA7</f>
        <v>358.4</v>
      </c>
      <c r="M25" s="45"/>
      <c r="N25" s="45"/>
      <c r="O25" s="45"/>
      <c r="P25" s="45"/>
      <c r="Q25" s="45"/>
      <c r="R25" s="45"/>
      <c r="T25" s="350" t="s">
        <v>58</v>
      </c>
      <c r="U25" s="347">
        <f t="shared" ref="U25:V25" si="14">U19*$B$5/100</f>
        <v>53.439999999999962</v>
      </c>
      <c r="V25" s="348" t="e">
        <f t="shared" si="14"/>
        <v>#REF!</v>
      </c>
    </row>
    <row r="26" spans="1:22" ht="14.4" thickBot="1" x14ac:dyDescent="0.3">
      <c r="A26" s="2" t="s">
        <v>65</v>
      </c>
      <c r="B26" s="41"/>
      <c r="C26" s="41"/>
      <c r="D26" s="55">
        <f>IF(Cattle!C12="O36M",'Cattle data'!H25,'Cattle data'!H26)</f>
        <v>3</v>
      </c>
      <c r="E26" s="2">
        <f>Cattle!C23</f>
        <v>0</v>
      </c>
      <c r="G26" s="60" t="s">
        <v>69</v>
      </c>
      <c r="H26" s="61">
        <v>3</v>
      </c>
      <c r="K26" s="43"/>
      <c r="L26" s="43">
        <v>1</v>
      </c>
      <c r="M26" s="43">
        <v>2</v>
      </c>
      <c r="N26" s="43">
        <v>3</v>
      </c>
      <c r="O26" s="43" t="s">
        <v>7</v>
      </c>
      <c r="P26" s="43" t="s">
        <v>8</v>
      </c>
      <c r="Q26" s="43" t="s">
        <v>60</v>
      </c>
      <c r="R26" s="43" t="s">
        <v>61</v>
      </c>
    </row>
    <row r="27" spans="1:22" x14ac:dyDescent="0.25">
      <c r="A27" s="2" t="s">
        <v>47</v>
      </c>
      <c r="B27" s="41">
        <v>12.67</v>
      </c>
      <c r="C27" s="41"/>
      <c r="D27" s="55"/>
      <c r="E27" s="2">
        <f>Cattle!C24</f>
        <v>0</v>
      </c>
      <c r="K27" s="43" t="s">
        <v>9</v>
      </c>
      <c r="L27" s="43"/>
      <c r="M27" s="43"/>
      <c r="N27" s="43"/>
      <c r="O27" s="43"/>
      <c r="P27" s="43"/>
      <c r="Q27" s="43"/>
      <c r="R27" s="43"/>
    </row>
    <row r="28" spans="1:22" x14ac:dyDescent="0.25">
      <c r="A28" s="2" t="s">
        <v>168</v>
      </c>
      <c r="B28" s="41"/>
      <c r="C28" s="41"/>
      <c r="D28" s="55"/>
      <c r="E28" s="2">
        <f>Cattle!C25</f>
        <v>0</v>
      </c>
      <c r="K28" s="43" t="s">
        <v>54</v>
      </c>
      <c r="L28" s="43"/>
      <c r="M28" s="43"/>
      <c r="N28" s="43"/>
      <c r="O28" s="43"/>
      <c r="P28" s="43"/>
      <c r="Q28" s="43"/>
      <c r="R28" s="43"/>
    </row>
    <row r="29" spans="1:22" x14ac:dyDescent="0.25">
      <c r="A29" s="2" t="s">
        <v>49</v>
      </c>
      <c r="B29" s="41"/>
      <c r="C29" s="41"/>
      <c r="D29" s="55"/>
      <c r="E29" s="2"/>
      <c r="K29" s="43" t="s">
        <v>59</v>
      </c>
      <c r="L29" s="43"/>
      <c r="M29" s="43"/>
      <c r="N29" s="86">
        <f t="shared" ref="N29:O32" si="15">AA3</f>
        <v>370.1</v>
      </c>
      <c r="O29" s="86">
        <f t="shared" si="15"/>
        <v>370.6</v>
      </c>
      <c r="P29" s="43"/>
      <c r="Q29" s="43"/>
      <c r="R29" s="43"/>
    </row>
    <row r="30" spans="1:22" x14ac:dyDescent="0.25">
      <c r="A30" s="2"/>
      <c r="B30" s="41">
        <f>B24+B25</f>
        <v>10.01</v>
      </c>
      <c r="C30" s="41">
        <f t="shared" ref="C30:E30" si="16">SUM(C21:C29)</f>
        <v>19.369999999999997</v>
      </c>
      <c r="D30" s="41">
        <f t="shared" si="16"/>
        <v>19.660000000000004</v>
      </c>
      <c r="E30" s="41">
        <f t="shared" si="16"/>
        <v>0</v>
      </c>
      <c r="K30" s="43" t="s">
        <v>11</v>
      </c>
      <c r="L30" s="43"/>
      <c r="M30" s="43"/>
      <c r="N30" s="86">
        <f t="shared" si="15"/>
        <v>361.8</v>
      </c>
      <c r="O30" s="86">
        <f t="shared" si="15"/>
        <v>372.7</v>
      </c>
      <c r="P30" s="43"/>
      <c r="Q30" s="43"/>
      <c r="R30" s="43"/>
    </row>
    <row r="31" spans="1:22" x14ac:dyDescent="0.25">
      <c r="A31" s="2"/>
      <c r="B31" s="2"/>
      <c r="C31" s="2"/>
      <c r="D31" s="54"/>
      <c r="E31" s="2"/>
      <c r="K31" s="43" t="s">
        <v>55</v>
      </c>
      <c r="L31" s="43"/>
      <c r="M31" s="43"/>
      <c r="N31" s="86">
        <f t="shared" si="15"/>
        <v>350.5</v>
      </c>
      <c r="O31" s="86">
        <f>AB6</f>
        <v>323.10000000000002</v>
      </c>
      <c r="P31" s="43"/>
      <c r="Q31" s="43"/>
      <c r="R31" s="43"/>
    </row>
    <row r="32" spans="1:22" x14ac:dyDescent="0.25">
      <c r="A32" s="2"/>
      <c r="B32" s="41">
        <f>B30/$B$5</f>
        <v>3.1281249999999997E-2</v>
      </c>
      <c r="C32" s="41">
        <f>C30/$B$5</f>
        <v>6.0531249999999995E-2</v>
      </c>
      <c r="D32" s="55">
        <f>D30/$B$5</f>
        <v>6.1437500000000013E-2</v>
      </c>
      <c r="E32" s="55">
        <f>E30/$B$5</f>
        <v>0</v>
      </c>
      <c r="K32" s="43" t="s">
        <v>58</v>
      </c>
      <c r="L32" s="43"/>
      <c r="M32" s="43"/>
      <c r="N32" s="86">
        <f t="shared" si="15"/>
        <v>320.7</v>
      </c>
      <c r="O32" s="86" t="e">
        <f>#REF!</f>
        <v>#REF!</v>
      </c>
      <c r="P32" s="43"/>
      <c r="Q32" s="43"/>
      <c r="R32" s="43"/>
    </row>
    <row r="33" spans="1:18" ht="14.4" thickBot="1" x14ac:dyDescent="0.3">
      <c r="K33" s="43" t="s">
        <v>56</v>
      </c>
      <c r="L33" s="43"/>
      <c r="M33" s="43"/>
      <c r="N33" s="43"/>
      <c r="O33" s="43"/>
      <c r="P33" s="43"/>
      <c r="Q33" s="43"/>
      <c r="R33" s="43"/>
    </row>
    <row r="34" spans="1:18" ht="14.4" thickBot="1" x14ac:dyDescent="0.3">
      <c r="A34" s="31" t="s">
        <v>72</v>
      </c>
      <c r="B34" s="32"/>
      <c r="C34" s="33"/>
      <c r="D34" s="30" t="s">
        <v>70</v>
      </c>
      <c r="G34" s="21"/>
      <c r="H34" s="21"/>
      <c r="I34" s="21"/>
      <c r="J34" s="21"/>
      <c r="K34" s="43" t="s">
        <v>57</v>
      </c>
      <c r="L34" s="43"/>
      <c r="M34" s="43"/>
      <c r="N34" s="43"/>
      <c r="O34" s="43"/>
      <c r="P34" s="43"/>
      <c r="Q34" s="43"/>
      <c r="R34" s="43"/>
    </row>
    <row r="35" spans="1:18" x14ac:dyDescent="0.25">
      <c r="A35" s="34"/>
      <c r="B35" s="5">
        <v>229.1</v>
      </c>
      <c r="C35" s="39" t="s">
        <v>45</v>
      </c>
      <c r="D35" s="25"/>
      <c r="G35" s="21"/>
      <c r="H35" s="21"/>
      <c r="I35" s="21"/>
      <c r="J35" s="21"/>
    </row>
    <row r="36" spans="1:18" ht="14.4" thickBot="1" x14ac:dyDescent="0.3">
      <c r="A36" s="34"/>
      <c r="B36" s="5">
        <v>250.1</v>
      </c>
      <c r="C36" s="35">
        <v>25</v>
      </c>
      <c r="D36" s="26" t="s">
        <v>68</v>
      </c>
      <c r="E36" s="21"/>
      <c r="F36" s="21"/>
      <c r="G36" s="21"/>
      <c r="H36" s="23"/>
      <c r="I36" s="21"/>
      <c r="J36" s="21"/>
      <c r="K36" s="21"/>
    </row>
    <row r="37" spans="1:18" x14ac:dyDescent="0.25">
      <c r="A37" s="34"/>
      <c r="B37">
        <v>360</v>
      </c>
      <c r="C37" s="35">
        <v>10</v>
      </c>
      <c r="D37" s="27" t="s">
        <v>69</v>
      </c>
      <c r="E37" s="21"/>
      <c r="F37" s="21"/>
      <c r="G37" s="21"/>
      <c r="H37" s="23"/>
      <c r="I37" s="21"/>
      <c r="J37" s="21"/>
      <c r="K37" s="320"/>
      <c r="L37" s="32">
        <v>1</v>
      </c>
      <c r="M37" s="32">
        <v>2</v>
      </c>
      <c r="N37" s="32">
        <v>3</v>
      </c>
      <c r="O37" s="32" t="s">
        <v>7</v>
      </c>
      <c r="P37" s="32" t="s">
        <v>8</v>
      </c>
      <c r="Q37" s="32" t="s">
        <v>60</v>
      </c>
      <c r="R37" s="33" t="s">
        <v>61</v>
      </c>
    </row>
    <row r="38" spans="1:18" x14ac:dyDescent="0.25">
      <c r="A38" s="34"/>
      <c r="B38" s="5">
        <v>380</v>
      </c>
      <c r="C38" s="35">
        <v>25</v>
      </c>
      <c r="D38" s="27"/>
      <c r="E38" s="21"/>
      <c r="F38" s="21"/>
      <c r="G38" s="21"/>
      <c r="H38" s="23"/>
      <c r="I38" s="21"/>
      <c r="J38" s="21"/>
      <c r="K38" s="321" t="s">
        <v>9</v>
      </c>
      <c r="L38" s="5">
        <v>349</v>
      </c>
      <c r="M38" s="5">
        <v>389</v>
      </c>
      <c r="N38" s="5">
        <v>394</v>
      </c>
      <c r="O38" s="5">
        <v>394</v>
      </c>
      <c r="P38" s="5">
        <v>389</v>
      </c>
      <c r="Q38" s="5">
        <v>354</v>
      </c>
      <c r="R38" s="35" t="s">
        <v>11</v>
      </c>
    </row>
    <row r="39" spans="1:18" x14ac:dyDescent="0.25">
      <c r="A39" s="34"/>
      <c r="B39" s="5">
        <v>400</v>
      </c>
      <c r="C39" s="35"/>
      <c r="D39" s="27"/>
      <c r="E39" s="21"/>
      <c r="F39" s="21"/>
      <c r="G39" s="21"/>
      <c r="H39" s="23"/>
      <c r="I39" s="21"/>
      <c r="J39" s="21"/>
      <c r="K39" s="321" t="s">
        <v>54</v>
      </c>
      <c r="L39" s="5">
        <v>349</v>
      </c>
      <c r="M39" s="5">
        <v>383</v>
      </c>
      <c r="N39" s="5">
        <v>387</v>
      </c>
      <c r="O39" s="5">
        <v>387</v>
      </c>
      <c r="P39" s="5">
        <v>383</v>
      </c>
      <c r="Q39" s="5">
        <v>354</v>
      </c>
      <c r="R39" s="35" t="s">
        <v>11</v>
      </c>
    </row>
    <row r="40" spans="1:18" x14ac:dyDescent="0.25">
      <c r="A40" s="34" t="s">
        <v>73</v>
      </c>
      <c r="B40" s="5"/>
      <c r="C40" s="35"/>
      <c r="D40" s="28"/>
      <c r="E40" s="21"/>
      <c r="F40" s="24"/>
      <c r="G40" s="21"/>
      <c r="H40" s="21"/>
      <c r="I40" s="21"/>
      <c r="J40" s="21"/>
      <c r="K40" s="321" t="s">
        <v>59</v>
      </c>
      <c r="L40" s="5">
        <v>344</v>
      </c>
      <c r="M40" s="5">
        <v>377</v>
      </c>
      <c r="N40" s="5">
        <v>379</v>
      </c>
      <c r="O40" s="5">
        <v>379</v>
      </c>
      <c r="P40" s="5">
        <v>376</v>
      </c>
      <c r="Q40" s="5">
        <v>349</v>
      </c>
      <c r="R40" s="35" t="s">
        <v>11</v>
      </c>
    </row>
    <row r="41" spans="1:18" x14ac:dyDescent="0.25">
      <c r="A41" s="34"/>
      <c r="B41" s="5">
        <v>180</v>
      </c>
      <c r="C41" s="35"/>
      <c r="D41" s="28"/>
      <c r="E41" s="21"/>
      <c r="F41" s="23"/>
      <c r="G41" s="21"/>
      <c r="H41" s="21"/>
      <c r="I41" s="21"/>
      <c r="J41" s="21"/>
      <c r="K41" s="321" t="s">
        <v>11</v>
      </c>
      <c r="L41" s="5">
        <v>344</v>
      </c>
      <c r="M41" s="5">
        <v>367</v>
      </c>
      <c r="N41" s="5">
        <v>369</v>
      </c>
      <c r="O41" s="5">
        <v>369</v>
      </c>
      <c r="P41" s="5">
        <v>365</v>
      </c>
      <c r="Q41" s="5">
        <v>344</v>
      </c>
      <c r="R41" s="35" t="s">
        <v>11</v>
      </c>
    </row>
    <row r="42" spans="1:18" x14ac:dyDescent="0.25">
      <c r="A42" s="34"/>
      <c r="B42" s="5">
        <v>190</v>
      </c>
      <c r="C42" s="35">
        <v>80</v>
      </c>
      <c r="D42" s="28"/>
      <c r="E42" s="21"/>
      <c r="F42" s="21"/>
      <c r="G42" s="21"/>
      <c r="H42" s="21"/>
      <c r="I42" s="21"/>
      <c r="J42" s="21"/>
      <c r="K42" s="321" t="s">
        <v>55</v>
      </c>
      <c r="L42" s="5">
        <v>339</v>
      </c>
      <c r="M42" s="5">
        <v>357</v>
      </c>
      <c r="N42" s="5">
        <v>359</v>
      </c>
      <c r="O42" s="5">
        <v>359</v>
      </c>
      <c r="P42" s="5">
        <v>354</v>
      </c>
      <c r="Q42" s="5">
        <v>334</v>
      </c>
      <c r="R42" s="35" t="s">
        <v>11</v>
      </c>
    </row>
    <row r="43" spans="1:18" ht="14.4" thickBot="1" x14ac:dyDescent="0.3">
      <c r="A43" s="34"/>
      <c r="B43" s="5">
        <v>200</v>
      </c>
      <c r="C43" s="35">
        <v>50</v>
      </c>
      <c r="D43" s="29"/>
      <c r="E43" s="21"/>
      <c r="G43" s="21"/>
      <c r="H43" s="21"/>
      <c r="I43" s="21"/>
      <c r="J43" s="21"/>
      <c r="K43" s="321" t="s">
        <v>58</v>
      </c>
      <c r="L43" s="5">
        <v>309</v>
      </c>
      <c r="M43" s="5">
        <v>329</v>
      </c>
      <c r="N43" s="5">
        <v>334</v>
      </c>
      <c r="O43" s="5">
        <v>334</v>
      </c>
      <c r="P43" s="5">
        <v>329</v>
      </c>
      <c r="Q43" s="5">
        <v>319</v>
      </c>
      <c r="R43" s="35" t="s">
        <v>11</v>
      </c>
    </row>
    <row r="44" spans="1:18" x14ac:dyDescent="0.25">
      <c r="A44" s="34"/>
      <c r="B44" s="5">
        <v>210</v>
      </c>
      <c r="C44" s="35">
        <v>35</v>
      </c>
      <c r="D44" s="21"/>
      <c r="E44" s="21"/>
      <c r="G44" s="21"/>
      <c r="H44" s="21"/>
      <c r="I44" s="21"/>
      <c r="J44" s="21"/>
      <c r="K44" s="321" t="s">
        <v>56</v>
      </c>
      <c r="L44" s="5" t="s">
        <v>11</v>
      </c>
      <c r="M44" s="5">
        <v>289</v>
      </c>
      <c r="N44" s="5">
        <v>304</v>
      </c>
      <c r="O44" s="5">
        <v>304</v>
      </c>
      <c r="P44" s="5">
        <v>289</v>
      </c>
      <c r="Q44" s="5">
        <v>269</v>
      </c>
      <c r="R44" s="35" t="s">
        <v>11</v>
      </c>
    </row>
    <row r="45" spans="1:18" x14ac:dyDescent="0.25">
      <c r="A45" s="34"/>
      <c r="B45" s="5">
        <v>220</v>
      </c>
      <c r="C45" s="35">
        <v>30</v>
      </c>
      <c r="D45" s="22"/>
      <c r="E45" s="21"/>
      <c r="G45" s="21"/>
      <c r="H45" s="21"/>
      <c r="I45" s="21"/>
      <c r="J45" s="21"/>
      <c r="K45" s="321" t="s">
        <v>57</v>
      </c>
      <c r="L45" s="5" t="s">
        <v>11</v>
      </c>
      <c r="M45" s="5">
        <v>269</v>
      </c>
      <c r="N45" s="5">
        <v>289</v>
      </c>
      <c r="O45" s="5">
        <v>289</v>
      </c>
      <c r="P45" s="5" t="s">
        <v>11</v>
      </c>
      <c r="Q45" s="5" t="s">
        <v>11</v>
      </c>
      <c r="R45" s="35" t="s">
        <v>11</v>
      </c>
    </row>
    <row r="46" spans="1:18" x14ac:dyDescent="0.25">
      <c r="A46" s="34"/>
      <c r="B46" s="5">
        <v>230</v>
      </c>
      <c r="C46" s="35">
        <v>25</v>
      </c>
      <c r="D46" s="21"/>
      <c r="E46" s="21"/>
      <c r="K46" s="34"/>
      <c r="L46" s="5"/>
      <c r="M46" s="5"/>
      <c r="N46" s="5"/>
      <c r="O46" s="5"/>
      <c r="P46" s="5"/>
      <c r="Q46" s="5"/>
      <c r="R46" s="35"/>
    </row>
    <row r="47" spans="1:18" x14ac:dyDescent="0.25">
      <c r="A47" s="34"/>
      <c r="B47" s="5">
        <v>240</v>
      </c>
      <c r="C47" s="35">
        <v>20</v>
      </c>
      <c r="D47" s="22"/>
      <c r="E47" s="21"/>
      <c r="K47" s="322" t="s">
        <v>213</v>
      </c>
      <c r="L47" s="315">
        <v>1</v>
      </c>
      <c r="M47" s="315">
        <v>2</v>
      </c>
      <c r="N47" s="315">
        <v>3</v>
      </c>
      <c r="O47" s="315" t="s">
        <v>7</v>
      </c>
      <c r="P47" s="315" t="s">
        <v>8</v>
      </c>
      <c r="Q47" s="315" t="s">
        <v>60</v>
      </c>
      <c r="R47" s="323" t="s">
        <v>61</v>
      </c>
    </row>
    <row r="48" spans="1:18" x14ac:dyDescent="0.25">
      <c r="A48" s="34"/>
      <c r="B48" s="5">
        <v>260</v>
      </c>
      <c r="C48" s="35">
        <v>15</v>
      </c>
      <c r="K48" s="322" t="s">
        <v>9</v>
      </c>
      <c r="L48" s="316">
        <f>(L38/$L$2)-1</f>
        <v>-4.9046321525885506E-2</v>
      </c>
      <c r="M48" s="319">
        <f t="shared" ref="M48:O48" si="17">(M38/$L$2)-1</f>
        <v>5.9945504087193457E-2</v>
      </c>
      <c r="N48" s="319">
        <f t="shared" si="17"/>
        <v>7.3569482288828425E-2</v>
      </c>
      <c r="O48" s="319">
        <f t="shared" si="17"/>
        <v>7.3569482288828425E-2</v>
      </c>
      <c r="P48" s="319">
        <f t="shared" ref="P48:Q48" si="18">(P38/$L$2)-1</f>
        <v>5.9945504087193457E-2</v>
      </c>
      <c r="Q48" s="316">
        <f t="shared" si="18"/>
        <v>-3.5422343324250649E-2</v>
      </c>
      <c r="R48" s="323" t="s">
        <v>11</v>
      </c>
    </row>
    <row r="49" spans="1:18" x14ac:dyDescent="0.25">
      <c r="A49" s="34"/>
      <c r="B49" s="5">
        <v>270</v>
      </c>
      <c r="C49" s="35">
        <v>6</v>
      </c>
      <c r="K49" s="322" t="s">
        <v>54</v>
      </c>
      <c r="L49" s="316">
        <f t="shared" ref="L49:Q53" si="19">(L39/$L$2)-1</f>
        <v>-4.9046321525885506E-2</v>
      </c>
      <c r="M49" s="319">
        <f t="shared" si="19"/>
        <v>4.3596730245231585E-2</v>
      </c>
      <c r="N49" s="319">
        <f t="shared" si="19"/>
        <v>5.4495912806539426E-2</v>
      </c>
      <c r="O49" s="319">
        <f t="shared" si="19"/>
        <v>5.4495912806539426E-2</v>
      </c>
      <c r="P49" s="319">
        <f t="shared" ref="P49:Q49" si="20">(P39/$L$2)-1</f>
        <v>4.3596730245231585E-2</v>
      </c>
      <c r="Q49" s="316">
        <f t="shared" si="20"/>
        <v>-3.5422343324250649E-2</v>
      </c>
      <c r="R49" s="323" t="s">
        <v>11</v>
      </c>
    </row>
    <row r="50" spans="1:18" x14ac:dyDescent="0.25">
      <c r="A50" s="34"/>
      <c r="B50" s="5">
        <v>400</v>
      </c>
      <c r="C50" s="35">
        <v>10</v>
      </c>
      <c r="K50" s="322" t="s">
        <v>59</v>
      </c>
      <c r="L50" s="316">
        <f t="shared" si="19"/>
        <v>-6.2670299727520473E-2</v>
      </c>
      <c r="M50" s="319">
        <f t="shared" si="19"/>
        <v>2.7247956403269713E-2</v>
      </c>
      <c r="N50" s="319">
        <f t="shared" si="19"/>
        <v>3.2697547683923744E-2</v>
      </c>
      <c r="O50" s="319">
        <f t="shared" si="19"/>
        <v>3.2697547683923744E-2</v>
      </c>
      <c r="P50" s="319">
        <f t="shared" ref="P50:Q50" si="21">(P40/$L$2)-1</f>
        <v>2.4523160762942808E-2</v>
      </c>
      <c r="Q50" s="316">
        <f t="shared" si="21"/>
        <v>-4.9046321525885506E-2</v>
      </c>
      <c r="R50" s="323" t="s">
        <v>11</v>
      </c>
    </row>
    <row r="51" spans="1:18" x14ac:dyDescent="0.25">
      <c r="A51" s="34"/>
      <c r="B51" s="5">
        <v>415</v>
      </c>
      <c r="C51" s="35">
        <v>20</v>
      </c>
      <c r="K51" s="322" t="s">
        <v>11</v>
      </c>
      <c r="L51" s="316">
        <f t="shared" si="19"/>
        <v>-6.2670299727520473E-2</v>
      </c>
      <c r="M51" s="316">
        <f t="shared" si="19"/>
        <v>0</v>
      </c>
      <c r="N51" s="318">
        <f t="shared" si="19"/>
        <v>5.4495912806540314E-3</v>
      </c>
      <c r="O51" s="318">
        <f t="shared" si="19"/>
        <v>5.4495912806540314E-3</v>
      </c>
      <c r="P51" s="316">
        <f t="shared" ref="P51:Q51" si="22">(P41/$L$2)-1</f>
        <v>-5.4495912806539204E-3</v>
      </c>
      <c r="Q51" s="316">
        <f t="shared" si="22"/>
        <v>-6.2670299727520473E-2</v>
      </c>
      <c r="R51" s="323" t="s">
        <v>11</v>
      </c>
    </row>
    <row r="52" spans="1:18" ht="14.4" thickBot="1" x14ac:dyDescent="0.3">
      <c r="A52" s="36"/>
      <c r="B52" s="37">
        <v>440</v>
      </c>
      <c r="C52" s="38"/>
      <c r="K52" s="322" t="s">
        <v>55</v>
      </c>
      <c r="L52" s="316">
        <f t="shared" si="19"/>
        <v>-7.629427792915533E-2</v>
      </c>
      <c r="M52" s="316">
        <f t="shared" si="19"/>
        <v>-2.7247956403269713E-2</v>
      </c>
      <c r="N52" s="316">
        <f t="shared" si="19"/>
        <v>-2.1798365122615793E-2</v>
      </c>
      <c r="O52" s="316">
        <f t="shared" si="19"/>
        <v>-2.1798365122615793E-2</v>
      </c>
      <c r="P52" s="316">
        <f t="shared" si="19"/>
        <v>-3.5422343324250649E-2</v>
      </c>
      <c r="Q52" s="316">
        <f t="shared" si="19"/>
        <v>-8.9918256130790186E-2</v>
      </c>
      <c r="R52" s="323" t="s">
        <v>11</v>
      </c>
    </row>
    <row r="53" spans="1:18" x14ac:dyDescent="0.25">
      <c r="K53" s="322" t="s">
        <v>58</v>
      </c>
      <c r="L53" s="316">
        <f t="shared" si="19"/>
        <v>-0.15803814713896458</v>
      </c>
      <c r="M53" s="316">
        <f t="shared" si="19"/>
        <v>-0.10354223433242504</v>
      </c>
      <c r="N53" s="316">
        <f t="shared" si="19"/>
        <v>-8.9918256130790186E-2</v>
      </c>
      <c r="O53" s="316">
        <f t="shared" si="19"/>
        <v>-8.9918256130790186E-2</v>
      </c>
      <c r="P53" s="316">
        <f t="shared" si="19"/>
        <v>-0.10354223433242504</v>
      </c>
      <c r="Q53" s="316">
        <f t="shared" si="19"/>
        <v>-0.13079019073569487</v>
      </c>
      <c r="R53" s="323" t="s">
        <v>11</v>
      </c>
    </row>
    <row r="54" spans="1:18" x14ac:dyDescent="0.25">
      <c r="K54" s="322" t="s">
        <v>56</v>
      </c>
      <c r="L54" s="317" t="s">
        <v>11</v>
      </c>
      <c r="M54" s="316">
        <f t="shared" ref="M54:Q54" si="23">(M44/$L$2)-1</f>
        <v>-0.21253405994550412</v>
      </c>
      <c r="N54" s="316">
        <f t="shared" si="23"/>
        <v>-0.17166212534059944</v>
      </c>
      <c r="O54" s="316">
        <f t="shared" si="23"/>
        <v>-0.17166212534059944</v>
      </c>
      <c r="P54" s="316">
        <f t="shared" si="23"/>
        <v>-0.21253405994550412</v>
      </c>
      <c r="Q54" s="316">
        <f t="shared" si="23"/>
        <v>-0.26702997275204354</v>
      </c>
      <c r="R54" s="323" t="s">
        <v>11</v>
      </c>
    </row>
    <row r="55" spans="1:18" ht="14.4" thickBot="1" x14ac:dyDescent="0.3">
      <c r="K55" s="324" t="s">
        <v>57</v>
      </c>
      <c r="L55" s="325" t="s">
        <v>11</v>
      </c>
      <c r="M55" s="326">
        <f t="shared" ref="M55:O55" si="24">(M45/$L$2)-1</f>
        <v>-0.26702997275204354</v>
      </c>
      <c r="N55" s="326">
        <f t="shared" si="24"/>
        <v>-0.21253405994550412</v>
      </c>
      <c r="O55" s="326">
        <f t="shared" si="24"/>
        <v>-0.21253405994550412</v>
      </c>
      <c r="P55" s="325" t="s">
        <v>11</v>
      </c>
      <c r="Q55" s="325" t="s">
        <v>11</v>
      </c>
      <c r="R55" s="327" t="s">
        <v>11</v>
      </c>
    </row>
    <row r="57" spans="1:18" x14ac:dyDescent="0.25">
      <c r="K57" s="46" t="s">
        <v>214</v>
      </c>
      <c r="L57" s="46">
        <v>1</v>
      </c>
      <c r="M57" s="46">
        <v>2</v>
      </c>
      <c r="N57" s="46">
        <v>3</v>
      </c>
      <c r="O57" s="46" t="s">
        <v>7</v>
      </c>
      <c r="P57" s="46" t="s">
        <v>8</v>
      </c>
      <c r="Q57" s="46" t="s">
        <v>60</v>
      </c>
      <c r="R57" s="46" t="s">
        <v>61</v>
      </c>
    </row>
    <row r="58" spans="1:18" x14ac:dyDescent="0.25">
      <c r="K58" s="315" t="s">
        <v>9</v>
      </c>
      <c r="L58" s="56">
        <f>L16/$L$14-1</f>
        <v>-0.27941176470588236</v>
      </c>
      <c r="M58" s="56">
        <f t="shared" ref="M58:R58" si="25">M16/$L$14-1</f>
        <v>-8.8235294117646745E-3</v>
      </c>
      <c r="N58" s="56">
        <f t="shared" si="25"/>
        <v>2.0588235294117574E-2</v>
      </c>
      <c r="O58" s="56">
        <f t="shared" si="25"/>
        <v>2.0588235294117574E-2</v>
      </c>
      <c r="P58" s="56">
        <f t="shared" si="25"/>
        <v>-4.4117647058823484E-2</v>
      </c>
      <c r="Q58" s="56">
        <f t="shared" si="25"/>
        <v>-0.37941176470588234</v>
      </c>
      <c r="R58" s="56">
        <f t="shared" si="25"/>
        <v>-0.37941176470588234</v>
      </c>
    </row>
    <row r="59" spans="1:18" x14ac:dyDescent="0.25">
      <c r="K59" s="315" t="s">
        <v>54</v>
      </c>
      <c r="L59" s="56">
        <f t="shared" ref="L59:R59" si="26">L17/$L$14-1</f>
        <v>-0.27941176470588236</v>
      </c>
      <c r="M59" s="56">
        <f t="shared" si="26"/>
        <v>-8.8235294117646745E-3</v>
      </c>
      <c r="N59" s="56">
        <f t="shared" si="26"/>
        <v>2.0588235294117574E-2</v>
      </c>
      <c r="O59" s="56">
        <f t="shared" si="26"/>
        <v>2.0588235294117574E-2</v>
      </c>
      <c r="P59" s="56">
        <f t="shared" si="26"/>
        <v>-4.4117647058823484E-2</v>
      </c>
      <c r="Q59" s="56">
        <f t="shared" si="26"/>
        <v>-0.37941176470588234</v>
      </c>
      <c r="R59" s="56">
        <f t="shared" si="26"/>
        <v>-0.37941176470588234</v>
      </c>
    </row>
    <row r="60" spans="1:18" x14ac:dyDescent="0.25">
      <c r="K60" s="315" t="s">
        <v>59</v>
      </c>
      <c r="L60" s="56">
        <f t="shared" ref="L60:R60" si="27">L18/$L$14-1</f>
        <v>-0.27941176470588236</v>
      </c>
      <c r="M60" s="56">
        <f t="shared" si="27"/>
        <v>-2.9411764705882359E-2</v>
      </c>
      <c r="N60" s="56">
        <f t="shared" si="27"/>
        <v>0</v>
      </c>
      <c r="O60" s="56">
        <f t="shared" si="27"/>
        <v>0</v>
      </c>
      <c r="P60" s="56">
        <f t="shared" si="27"/>
        <v>-4.4117647058823484E-2</v>
      </c>
      <c r="Q60" s="56">
        <f t="shared" si="27"/>
        <v>-0.37941176470588234</v>
      </c>
      <c r="R60" s="56">
        <f t="shared" si="27"/>
        <v>-0.37941176470588234</v>
      </c>
    </row>
    <row r="61" spans="1:18" x14ac:dyDescent="0.25">
      <c r="K61" s="315" t="s">
        <v>11</v>
      </c>
      <c r="L61" s="56">
        <f t="shared" ref="L61:R61" si="28">L19/$L$14-1</f>
        <v>-0.27941176470588236</v>
      </c>
      <c r="M61" s="56">
        <f t="shared" si="28"/>
        <v>-2.9411764705882359E-2</v>
      </c>
      <c r="N61" s="56">
        <f t="shared" si="28"/>
        <v>0</v>
      </c>
      <c r="O61" s="56">
        <f t="shared" si="28"/>
        <v>0</v>
      </c>
      <c r="P61" s="56">
        <f t="shared" si="28"/>
        <v>-4.4117647058823484E-2</v>
      </c>
      <c r="Q61" s="56">
        <f t="shared" si="28"/>
        <v>-0.37941176470588234</v>
      </c>
      <c r="R61" s="56">
        <f t="shared" si="28"/>
        <v>-0.47941176470588232</v>
      </c>
    </row>
    <row r="62" spans="1:18" x14ac:dyDescent="0.25">
      <c r="K62" s="315" t="s">
        <v>55</v>
      </c>
      <c r="L62" s="56">
        <f t="shared" ref="L62:R62" si="29">L20/$L$14-1</f>
        <v>-0.27941176470588236</v>
      </c>
      <c r="M62" s="56">
        <f t="shared" si="29"/>
        <v>-7.3529411764705843E-2</v>
      </c>
      <c r="N62" s="56">
        <f t="shared" si="29"/>
        <v>-2.9411764705882359E-2</v>
      </c>
      <c r="O62" s="56">
        <f t="shared" si="29"/>
        <v>-2.9411764705882359E-2</v>
      </c>
      <c r="P62" s="56">
        <f t="shared" si="29"/>
        <v>-8.8235294117647078E-2</v>
      </c>
      <c r="Q62" s="56">
        <f t="shared" si="29"/>
        <v>-0.37941176470588234</v>
      </c>
      <c r="R62" s="56">
        <f t="shared" si="29"/>
        <v>-0.47941176470588232</v>
      </c>
    </row>
    <row r="63" spans="1:18" x14ac:dyDescent="0.25">
      <c r="K63" s="315" t="s">
        <v>58</v>
      </c>
      <c r="L63" s="56">
        <f t="shared" ref="L63:R63" si="30">L21/$L$14-1</f>
        <v>-0.27941176470588236</v>
      </c>
      <c r="M63" s="56">
        <f t="shared" si="30"/>
        <v>-0.13529411764705879</v>
      </c>
      <c r="N63" s="56">
        <f t="shared" si="30"/>
        <v>-0.10588235294117643</v>
      </c>
      <c r="O63" s="56">
        <f t="shared" si="30"/>
        <v>-0.10588235294117643</v>
      </c>
      <c r="P63" s="56">
        <f t="shared" si="30"/>
        <v>-0.22647058823529409</v>
      </c>
      <c r="Q63" s="56">
        <f t="shared" si="30"/>
        <v>-0.37941176470588234</v>
      </c>
      <c r="R63" s="56">
        <f t="shared" si="30"/>
        <v>-0.47941176470588232</v>
      </c>
    </row>
    <row r="64" spans="1:18" x14ac:dyDescent="0.25">
      <c r="K64" s="315" t="s">
        <v>56</v>
      </c>
      <c r="L64" s="56">
        <f t="shared" ref="L64:R64" si="31">L22/$L$14-1</f>
        <v>-0.36470588235294121</v>
      </c>
      <c r="M64" s="56">
        <f t="shared" si="31"/>
        <v>-0.29117647058823526</v>
      </c>
      <c r="N64" s="56">
        <f t="shared" si="31"/>
        <v>-0.2617647058823529</v>
      </c>
      <c r="O64" s="56">
        <f t="shared" si="31"/>
        <v>-0.2617647058823529</v>
      </c>
      <c r="P64" s="56">
        <f t="shared" si="31"/>
        <v>-0.2617647058823529</v>
      </c>
      <c r="Q64" s="56">
        <f t="shared" si="31"/>
        <v>-0.37941176470588234</v>
      </c>
      <c r="R64" s="56">
        <f t="shared" si="31"/>
        <v>-0.47941176470588232</v>
      </c>
    </row>
    <row r="65" spans="11:18" x14ac:dyDescent="0.25">
      <c r="K65" s="315" t="s">
        <v>57</v>
      </c>
      <c r="L65" s="56">
        <f t="shared" ref="L65:R65" si="32">L23/$L$14-1</f>
        <v>-0.47941176470588232</v>
      </c>
      <c r="M65" s="56">
        <f t="shared" si="32"/>
        <v>-0.50882352941176467</v>
      </c>
      <c r="N65" s="56">
        <f t="shared" si="32"/>
        <v>-0.47941176470588232</v>
      </c>
      <c r="O65" s="56">
        <f t="shared" si="32"/>
        <v>-0.47941176470588232</v>
      </c>
      <c r="P65" s="56">
        <f t="shared" si="32"/>
        <v>-0.44411764705882351</v>
      </c>
      <c r="Q65" s="56">
        <f t="shared" si="32"/>
        <v>-0.47941176470588232</v>
      </c>
      <c r="R65" s="56">
        <f t="shared" si="32"/>
        <v>-0.47941176470588232</v>
      </c>
    </row>
  </sheetData>
  <mergeCells count="5">
    <mergeCell ref="AC1:AD1"/>
    <mergeCell ref="U1:V1"/>
    <mergeCell ref="W1:X1"/>
    <mergeCell ref="Y1:Z1"/>
    <mergeCell ref="AA1:AB1"/>
  </mergeCells>
  <conditionalFormatting sqref="V8">
    <cfRule type="cellIs" dxfId="5" priority="6" operator="lessThan">
      <formula>0</formula>
    </cfRule>
  </conditionalFormatting>
  <conditionalFormatting sqref="AB8">
    <cfRule type="cellIs" dxfId="4" priority="5" operator="lessThan">
      <formula>0</formula>
    </cfRule>
  </conditionalFormatting>
  <conditionalFormatting sqref="AB7">
    <cfRule type="cellIs" dxfId="3" priority="2" operator="greaterThan">
      <formula>0</formula>
    </cfRule>
    <cfRule type="cellIs" dxfId="2" priority="3" operator="greaterThan">
      <formula>0</formula>
    </cfRule>
    <cfRule type="cellIs" dxfId="1" priority="4" operator="lessThan">
      <formula>0</formula>
    </cfRule>
  </conditionalFormatting>
  <conditionalFormatting sqref="V7">
    <cfRule type="cellIs" dxfId="0" priority="1" operator="lessThan">
      <formula>0</formula>
    </cfRule>
  </conditionalFormatting>
  <hyperlinks>
    <hyperlink ref="T10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R16"/>
  <sheetViews>
    <sheetView workbookViewId="0">
      <selection activeCell="C8" sqref="C8"/>
    </sheetView>
  </sheetViews>
  <sheetFormatPr defaultRowHeight="13.8" x14ac:dyDescent="0.25"/>
  <sheetData>
    <row r="2" spans="1:18" x14ac:dyDescent="0.2">
      <c r="A2" t="s">
        <v>51</v>
      </c>
      <c r="K2" t="s">
        <v>53</v>
      </c>
    </row>
    <row r="3" spans="1:18" x14ac:dyDescent="0.2">
      <c r="A3" t="s">
        <v>50</v>
      </c>
      <c r="B3">
        <v>320</v>
      </c>
      <c r="K3" t="s">
        <v>52</v>
      </c>
      <c r="L3">
        <v>300</v>
      </c>
    </row>
    <row r="4" spans="1:18" x14ac:dyDescent="0.2">
      <c r="A4" s="2"/>
      <c r="B4" s="15">
        <v>1</v>
      </c>
      <c r="C4" s="15">
        <v>2</v>
      </c>
      <c r="D4" s="15" t="s">
        <v>5</v>
      </c>
      <c r="E4" s="15" t="s">
        <v>6</v>
      </c>
      <c r="F4" s="15" t="s">
        <v>7</v>
      </c>
      <c r="G4" s="15" t="s">
        <v>8</v>
      </c>
      <c r="H4" s="15">
        <v>5</v>
      </c>
      <c r="K4" s="15"/>
      <c r="L4" s="15">
        <v>1</v>
      </c>
      <c r="M4" s="15">
        <v>2</v>
      </c>
      <c r="N4" s="15" t="s">
        <v>5</v>
      </c>
      <c r="O4" s="15" t="s">
        <v>6</v>
      </c>
      <c r="P4" s="15" t="s">
        <v>7</v>
      </c>
      <c r="Q4" s="15" t="s">
        <v>8</v>
      </c>
      <c r="R4" s="15">
        <v>5</v>
      </c>
    </row>
    <row r="5" spans="1:18" x14ac:dyDescent="0.2">
      <c r="A5" s="15" t="s">
        <v>9</v>
      </c>
      <c r="B5" s="15">
        <f>$B$3-60</f>
        <v>260</v>
      </c>
      <c r="C5" s="15">
        <f>$B$3+10</f>
        <v>330</v>
      </c>
      <c r="D5" s="15">
        <f>$B$3+10</f>
        <v>330</v>
      </c>
      <c r="E5" s="15">
        <f>$B$3</f>
        <v>320</v>
      </c>
      <c r="F5" s="15">
        <f>$B$3-40</f>
        <v>280</v>
      </c>
      <c r="G5" s="15">
        <f>$B$3-75</f>
        <v>245</v>
      </c>
      <c r="H5" s="15">
        <f>$B$3-100</f>
        <v>220</v>
      </c>
      <c r="K5" s="15" t="s">
        <v>9</v>
      </c>
      <c r="L5" s="15">
        <f>$L$3-30</f>
        <v>270</v>
      </c>
      <c r="M5" s="15">
        <f>$L$3+20</f>
        <v>320</v>
      </c>
      <c r="N5" s="15">
        <f>$L$3+20</f>
        <v>320</v>
      </c>
      <c r="O5" s="15">
        <f>$L$3</f>
        <v>300</v>
      </c>
      <c r="P5" s="15">
        <f>$L$3-15</f>
        <v>285</v>
      </c>
      <c r="Q5" s="15">
        <f>$L$3-30</f>
        <v>270</v>
      </c>
      <c r="R5" s="15">
        <f>$L$3-60</f>
        <v>240</v>
      </c>
    </row>
    <row r="6" spans="1:18" x14ac:dyDescent="0.2">
      <c r="A6" s="15" t="s">
        <v>10</v>
      </c>
      <c r="B6" s="15">
        <f>$B$3-60</f>
        <v>260</v>
      </c>
      <c r="C6" s="15">
        <f>$B$3+10</f>
        <v>330</v>
      </c>
      <c r="D6" s="15">
        <f>$B$3+10</f>
        <v>330</v>
      </c>
      <c r="E6" s="15">
        <f>$B$3</f>
        <v>320</v>
      </c>
      <c r="F6" s="15">
        <f>$B$3-40</f>
        <v>280</v>
      </c>
      <c r="G6" s="15">
        <f>$B$3-75</f>
        <v>245</v>
      </c>
      <c r="H6" s="15">
        <f>$B$3-100</f>
        <v>220</v>
      </c>
      <c r="K6" s="15" t="s">
        <v>10</v>
      </c>
      <c r="L6" s="15">
        <f>$L$3-30</f>
        <v>270</v>
      </c>
      <c r="M6" s="15">
        <f>$L$3+10</f>
        <v>310</v>
      </c>
      <c r="N6" s="15">
        <f>$L$3+10</f>
        <v>310</v>
      </c>
      <c r="O6" s="15">
        <f>$L$3</f>
        <v>300</v>
      </c>
      <c r="P6" s="15">
        <f>$L$3-15</f>
        <v>285</v>
      </c>
      <c r="Q6" s="15">
        <f>$L$3-30</f>
        <v>270</v>
      </c>
      <c r="R6" s="15">
        <f>$L$3-60</f>
        <v>240</v>
      </c>
    </row>
    <row r="7" spans="1:18" x14ac:dyDescent="0.2">
      <c r="A7" s="15" t="s">
        <v>11</v>
      </c>
      <c r="B7" s="15">
        <f>$B$3-60</f>
        <v>260</v>
      </c>
      <c r="C7" s="15">
        <f>$B$3</f>
        <v>320</v>
      </c>
      <c r="D7" s="15">
        <f>$B$3</f>
        <v>320</v>
      </c>
      <c r="E7" s="15">
        <f>$B$3</f>
        <v>320</v>
      </c>
      <c r="F7" s="15">
        <f>$B$3-40</f>
        <v>280</v>
      </c>
      <c r="G7" s="15">
        <f>$B$3-75</f>
        <v>245</v>
      </c>
      <c r="H7" s="15">
        <f>$B$3-100</f>
        <v>220</v>
      </c>
      <c r="K7" s="15" t="s">
        <v>11</v>
      </c>
      <c r="L7" s="15">
        <f>$L$3-50</f>
        <v>250</v>
      </c>
      <c r="M7" s="15">
        <f>$L$3</f>
        <v>300</v>
      </c>
      <c r="N7" s="15">
        <f>$L$3</f>
        <v>300</v>
      </c>
      <c r="O7" s="15">
        <f>$L$3-4</f>
        <v>296</v>
      </c>
      <c r="P7" s="15">
        <f>$L$3-20</f>
        <v>280</v>
      </c>
      <c r="Q7" s="15">
        <f>$L$3-40</f>
        <v>260</v>
      </c>
      <c r="R7" s="15">
        <f>$L$3-60</f>
        <v>240</v>
      </c>
    </row>
    <row r="8" spans="1:18" x14ac:dyDescent="0.2">
      <c r="A8" s="15" t="s">
        <v>12</v>
      </c>
      <c r="B8" s="15">
        <f>B3-101</f>
        <v>219</v>
      </c>
      <c r="C8" s="15">
        <f>B3-20</f>
        <v>300</v>
      </c>
      <c r="D8" s="15">
        <f>B3-20</f>
        <v>300</v>
      </c>
      <c r="E8" s="15">
        <f>B3-30</f>
        <v>290</v>
      </c>
      <c r="F8" s="15">
        <f>$B$3-40</f>
        <v>280</v>
      </c>
      <c r="G8" s="15">
        <f>$B$3-75</f>
        <v>245</v>
      </c>
      <c r="H8" s="15">
        <f>$B$3-100</f>
        <v>220</v>
      </c>
      <c r="K8" s="15" t="s">
        <v>12</v>
      </c>
      <c r="L8" s="15">
        <f>$L$3-75</f>
        <v>225</v>
      </c>
      <c r="M8" s="15">
        <f>$L$3-10</f>
        <v>290</v>
      </c>
      <c r="N8" s="15">
        <f>$L$3-5</f>
        <v>295</v>
      </c>
      <c r="O8" s="15">
        <f>$L$3-15</f>
        <v>285</v>
      </c>
      <c r="P8" s="15">
        <f>$L$3-50</f>
        <v>250</v>
      </c>
      <c r="Q8" s="15">
        <f>$L$3-60</f>
        <v>240</v>
      </c>
      <c r="R8" s="15">
        <f>$L$3-60</f>
        <v>240</v>
      </c>
    </row>
    <row r="9" spans="1:18" x14ac:dyDescent="0.2">
      <c r="A9" s="15" t="s">
        <v>13</v>
      </c>
      <c r="B9" s="15" t="s">
        <v>11</v>
      </c>
      <c r="C9" s="15" t="s">
        <v>11</v>
      </c>
      <c r="D9" s="15" t="s">
        <v>11</v>
      </c>
      <c r="E9" s="15" t="s">
        <v>11</v>
      </c>
      <c r="F9" s="15" t="s">
        <v>11</v>
      </c>
      <c r="G9" s="15" t="s">
        <v>11</v>
      </c>
      <c r="H9" s="15" t="s">
        <v>11</v>
      </c>
      <c r="K9" s="15" t="s">
        <v>13</v>
      </c>
      <c r="L9" s="15" t="s">
        <v>11</v>
      </c>
      <c r="M9" s="15" t="s">
        <v>11</v>
      </c>
      <c r="N9" s="15" t="s">
        <v>11</v>
      </c>
      <c r="O9" s="15" t="s">
        <v>11</v>
      </c>
      <c r="P9" s="15" t="s">
        <v>11</v>
      </c>
      <c r="Q9" s="15" t="s">
        <v>11</v>
      </c>
      <c r="R9" s="15" t="s">
        <v>11</v>
      </c>
    </row>
    <row r="11" spans="1:18" x14ac:dyDescent="0.2">
      <c r="A11" s="15"/>
      <c r="B11" s="15">
        <v>1</v>
      </c>
      <c r="C11" s="15">
        <v>2</v>
      </c>
      <c r="D11" s="15" t="s">
        <v>5</v>
      </c>
      <c r="E11" s="15" t="s">
        <v>6</v>
      </c>
      <c r="F11" s="15" t="s">
        <v>7</v>
      </c>
      <c r="G11" s="15" t="s">
        <v>8</v>
      </c>
      <c r="H11" s="15">
        <v>5</v>
      </c>
      <c r="K11" s="15"/>
      <c r="L11" s="15">
        <v>1</v>
      </c>
      <c r="M11" s="15">
        <v>2</v>
      </c>
      <c r="N11" s="15" t="s">
        <v>5</v>
      </c>
      <c r="O11" s="15" t="s">
        <v>6</v>
      </c>
      <c r="P11" s="15" t="s">
        <v>7</v>
      </c>
      <c r="Q11" s="15" t="s">
        <v>8</v>
      </c>
      <c r="R11" s="15">
        <v>5</v>
      </c>
    </row>
    <row r="12" spans="1:18" x14ac:dyDescent="0.2">
      <c r="A12" s="15" t="s">
        <v>9</v>
      </c>
      <c r="B12" s="15">
        <v>-60</v>
      </c>
      <c r="C12" s="15">
        <v>-10</v>
      </c>
      <c r="D12" s="15">
        <v>-10</v>
      </c>
      <c r="E12" s="15"/>
      <c r="F12" s="15">
        <v>-40</v>
      </c>
      <c r="G12" s="15">
        <v>-75</v>
      </c>
      <c r="H12" s="15">
        <v>-100</v>
      </c>
      <c r="K12" s="15" t="s">
        <v>9</v>
      </c>
      <c r="L12" s="15">
        <v>-30</v>
      </c>
      <c r="M12" s="15">
        <v>20</v>
      </c>
      <c r="N12" s="15">
        <v>20</v>
      </c>
      <c r="O12" s="15"/>
      <c r="P12" s="15">
        <v>-15</v>
      </c>
      <c r="Q12" s="15">
        <v>-30</v>
      </c>
      <c r="R12" s="15">
        <v>-60</v>
      </c>
    </row>
    <row r="13" spans="1:18" x14ac:dyDescent="0.2">
      <c r="A13" s="15" t="s">
        <v>10</v>
      </c>
      <c r="B13" s="15">
        <v>-60</v>
      </c>
      <c r="C13" s="15">
        <v>-10</v>
      </c>
      <c r="D13" s="15">
        <v>-10</v>
      </c>
      <c r="E13" s="15"/>
      <c r="F13" s="15">
        <v>-40</v>
      </c>
      <c r="G13" s="15">
        <v>-75</v>
      </c>
      <c r="H13" s="15">
        <v>-100</v>
      </c>
      <c r="K13" s="15" t="s">
        <v>10</v>
      </c>
      <c r="L13" s="15">
        <v>-30</v>
      </c>
      <c r="M13" s="15">
        <v>10</v>
      </c>
      <c r="N13" s="15">
        <v>10</v>
      </c>
      <c r="O13" s="15"/>
      <c r="P13" s="15">
        <v>-15</v>
      </c>
      <c r="Q13" s="15">
        <v>-30</v>
      </c>
      <c r="R13" s="15">
        <v>-60</v>
      </c>
    </row>
    <row r="14" spans="1:18" x14ac:dyDescent="0.2">
      <c r="A14" s="15" t="s">
        <v>11</v>
      </c>
      <c r="B14" s="15">
        <v>-60</v>
      </c>
      <c r="C14" s="15"/>
      <c r="D14" s="15"/>
      <c r="E14" s="15"/>
      <c r="F14" s="15">
        <v>-40</v>
      </c>
      <c r="G14" s="15">
        <v>-75</v>
      </c>
      <c r="H14" s="15">
        <v>-100</v>
      </c>
      <c r="K14" s="15" t="s">
        <v>11</v>
      </c>
      <c r="L14" s="15">
        <v>-50</v>
      </c>
      <c r="M14" s="15"/>
      <c r="N14" s="15"/>
      <c r="O14" s="15">
        <v>-4</v>
      </c>
      <c r="P14" s="15">
        <v>-20</v>
      </c>
      <c r="Q14" s="15">
        <v>-40</v>
      </c>
      <c r="R14" s="15">
        <v>-60</v>
      </c>
    </row>
    <row r="15" spans="1:18" x14ac:dyDescent="0.2">
      <c r="A15" s="15" t="s">
        <v>12</v>
      </c>
      <c r="B15" s="15">
        <v>-101</v>
      </c>
      <c r="C15" s="15">
        <v>-20</v>
      </c>
      <c r="D15" s="15">
        <v>-20</v>
      </c>
      <c r="E15" s="15">
        <v>-30</v>
      </c>
      <c r="F15" s="15">
        <v>-40</v>
      </c>
      <c r="G15" s="15">
        <v>-75</v>
      </c>
      <c r="H15" s="15">
        <v>-100</v>
      </c>
      <c r="K15" s="15" t="s">
        <v>12</v>
      </c>
      <c r="L15" s="15">
        <v>-75</v>
      </c>
      <c r="M15" s="15">
        <v>-10</v>
      </c>
      <c r="N15" s="15">
        <v>-5</v>
      </c>
      <c r="O15" s="15">
        <v>-15</v>
      </c>
      <c r="P15" s="20">
        <v>-50</v>
      </c>
      <c r="Q15" s="15">
        <v>-60</v>
      </c>
      <c r="R15" s="15">
        <v>-60</v>
      </c>
    </row>
    <row r="16" spans="1:18" x14ac:dyDescent="0.2">
      <c r="A16" s="15" t="s">
        <v>13</v>
      </c>
      <c r="B16" s="15" t="s">
        <v>11</v>
      </c>
      <c r="C16" s="15" t="s">
        <v>11</v>
      </c>
      <c r="D16" s="15" t="s">
        <v>11</v>
      </c>
      <c r="E16" s="15" t="s">
        <v>11</v>
      </c>
      <c r="F16" s="15" t="s">
        <v>11</v>
      </c>
      <c r="G16" s="15" t="s">
        <v>11</v>
      </c>
      <c r="H16" s="15" t="s">
        <v>11</v>
      </c>
      <c r="K16" s="15" t="s">
        <v>13</v>
      </c>
      <c r="L16" s="15" t="s">
        <v>11</v>
      </c>
      <c r="M16" s="15" t="s">
        <v>11</v>
      </c>
      <c r="N16" s="15" t="s">
        <v>11</v>
      </c>
      <c r="O16" s="15" t="s">
        <v>11</v>
      </c>
      <c r="P16" s="15" t="s">
        <v>11</v>
      </c>
      <c r="Q16" s="15" t="s">
        <v>11</v>
      </c>
      <c r="R16" s="15" t="s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A1:O65"/>
  <sheetViews>
    <sheetView tabSelected="1" zoomScaleNormal="100" workbookViewId="0">
      <selection activeCell="L8" sqref="L8"/>
    </sheetView>
  </sheetViews>
  <sheetFormatPr defaultColWidth="9" defaultRowHeight="13.8" x14ac:dyDescent="0.25"/>
  <cols>
    <col min="1" max="1" width="7" style="62" customWidth="1"/>
    <col min="2" max="3" width="9" style="62"/>
    <col min="4" max="4" width="9.3984375" style="62" customWidth="1"/>
    <col min="5" max="5" width="10.5" style="62" customWidth="1"/>
    <col min="6" max="7" width="9.09765625" style="62" bestFit="1" customWidth="1"/>
    <col min="8" max="8" width="11.09765625" style="62" bestFit="1" customWidth="1"/>
    <col min="9" max="9" width="11.3984375" style="62" customWidth="1"/>
    <col min="10" max="10" width="11.09765625" style="62" bestFit="1" customWidth="1"/>
    <col min="11" max="13" width="9" style="62"/>
    <col min="14" max="14" width="9.3984375" style="62" bestFit="1" customWidth="1"/>
    <col min="15" max="16384" width="9" style="62"/>
  </cols>
  <sheetData>
    <row r="1" spans="1:11" ht="14.25" x14ac:dyDescent="0.2">
      <c r="A1" s="148"/>
      <c r="B1" s="117" t="s">
        <v>153</v>
      </c>
      <c r="C1" s="88"/>
      <c r="D1" s="88"/>
      <c r="E1" s="148"/>
      <c r="F1" s="148"/>
      <c r="G1" s="148"/>
      <c r="H1" s="148"/>
      <c r="I1" s="148"/>
      <c r="J1" s="148"/>
      <c r="K1" s="148"/>
    </row>
    <row r="2" spans="1:11" ht="14.25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4.25" x14ac:dyDescent="0.2">
      <c r="A3" s="148"/>
      <c r="B3" s="172" t="s">
        <v>150</v>
      </c>
      <c r="C3" s="171"/>
      <c r="D3" s="171"/>
      <c r="E3" s="171"/>
      <c r="F3" s="171"/>
      <c r="G3" s="141"/>
      <c r="H3" s="148"/>
      <c r="I3" s="148"/>
      <c r="J3" s="148"/>
      <c r="K3" s="148"/>
    </row>
    <row r="4" spans="1:11" ht="14.25" x14ac:dyDescent="0.2">
      <c r="A4" s="148"/>
      <c r="B4" s="93"/>
      <c r="C4" s="93"/>
      <c r="D4" s="93"/>
      <c r="E4" s="93"/>
      <c r="F4" s="93"/>
      <c r="G4" s="93"/>
      <c r="H4" s="93"/>
      <c r="I4" s="93"/>
      <c r="J4" s="93"/>
      <c r="K4" s="148"/>
    </row>
    <row r="5" spans="1:11" ht="14.25" x14ac:dyDescent="0.2">
      <c r="A5" s="148"/>
      <c r="B5" s="148"/>
      <c r="C5" s="148"/>
      <c r="D5" s="148"/>
      <c r="E5" s="173" t="s">
        <v>101</v>
      </c>
      <c r="F5" s="93"/>
      <c r="G5" s="93"/>
      <c r="H5" s="93"/>
      <c r="I5" s="93"/>
      <c r="J5" s="93"/>
      <c r="K5" s="148"/>
    </row>
    <row r="6" spans="1:11" ht="14.25" x14ac:dyDescent="0.2">
      <c r="A6" s="148"/>
      <c r="B6" s="390" t="s">
        <v>142</v>
      </c>
      <c r="C6" s="391"/>
      <c r="D6" s="392"/>
      <c r="E6" s="143">
        <v>40</v>
      </c>
      <c r="F6" s="148"/>
      <c r="G6" s="148"/>
      <c r="H6" s="148"/>
      <c r="I6" s="148"/>
      <c r="J6" s="148"/>
      <c r="K6" s="148"/>
    </row>
    <row r="7" spans="1:11" ht="14.25" x14ac:dyDescent="0.2">
      <c r="A7" s="148"/>
      <c r="B7" s="390" t="s">
        <v>161</v>
      </c>
      <c r="C7" s="391"/>
      <c r="D7" s="392"/>
      <c r="E7" s="144">
        <v>3.5</v>
      </c>
      <c r="F7" s="148"/>
      <c r="G7" s="148"/>
      <c r="H7" s="148"/>
      <c r="I7" s="148"/>
      <c r="J7" s="148"/>
      <c r="K7" s="148"/>
    </row>
    <row r="8" spans="1:11" ht="14.25" x14ac:dyDescent="0.2">
      <c r="A8" s="148"/>
      <c r="B8" s="387" t="s">
        <v>104</v>
      </c>
      <c r="C8" s="388"/>
      <c r="D8" s="389"/>
      <c r="E8" s="145">
        <v>300</v>
      </c>
      <c r="F8" s="148"/>
      <c r="G8" s="148"/>
      <c r="H8" s="148"/>
      <c r="I8" s="148"/>
      <c r="J8" s="148"/>
      <c r="K8" s="148"/>
    </row>
    <row r="9" spans="1:11" ht="14.25" x14ac:dyDescent="0.2">
      <c r="A9" s="148"/>
      <c r="B9" s="387" t="s">
        <v>105</v>
      </c>
      <c r="C9" s="388"/>
      <c r="D9" s="389"/>
      <c r="E9" s="146">
        <v>0.47499999999999998</v>
      </c>
      <c r="F9" s="148"/>
      <c r="G9" s="148"/>
      <c r="H9" s="148"/>
      <c r="I9" s="148"/>
      <c r="J9" s="148"/>
      <c r="K9" s="148"/>
    </row>
    <row r="10" spans="1:11" ht="14.25" x14ac:dyDescent="0.2">
      <c r="A10" s="148"/>
      <c r="B10" s="387" t="s">
        <v>106</v>
      </c>
      <c r="C10" s="388"/>
      <c r="D10" s="389"/>
      <c r="E10" s="144">
        <v>60</v>
      </c>
      <c r="F10" s="148"/>
      <c r="G10" s="148"/>
      <c r="H10" s="148"/>
      <c r="I10" s="148"/>
      <c r="J10" s="148"/>
      <c r="K10" s="148"/>
    </row>
    <row r="11" spans="1:11" ht="14.25" x14ac:dyDescent="0.2">
      <c r="A11" s="148"/>
      <c r="B11" s="387" t="s">
        <v>107</v>
      </c>
      <c r="C11" s="388"/>
      <c r="D11" s="389"/>
      <c r="E11" s="144">
        <v>2333</v>
      </c>
      <c r="F11" s="148"/>
      <c r="G11" s="148"/>
      <c r="H11" s="148"/>
      <c r="I11" s="148"/>
      <c r="J11" s="148"/>
      <c r="K11" s="148"/>
    </row>
    <row r="12" spans="1:11" ht="14.25" x14ac:dyDescent="0.2">
      <c r="A12" s="148"/>
      <c r="B12" s="387" t="s">
        <v>108</v>
      </c>
      <c r="C12" s="388"/>
      <c r="D12" s="389"/>
      <c r="E12" s="144">
        <v>800</v>
      </c>
      <c r="F12" s="148"/>
      <c r="G12" s="148"/>
      <c r="H12" s="148"/>
      <c r="I12" s="148"/>
      <c r="J12" s="148"/>
      <c r="K12" s="148"/>
    </row>
    <row r="13" spans="1:11" ht="14.25" x14ac:dyDescent="0.2">
      <c r="A13" s="148"/>
      <c r="B13" s="387" t="s">
        <v>109</v>
      </c>
      <c r="C13" s="388"/>
      <c r="D13" s="389"/>
      <c r="E13" s="144">
        <v>240</v>
      </c>
      <c r="F13" s="148"/>
      <c r="G13" s="148"/>
      <c r="H13" s="148"/>
      <c r="I13" s="148"/>
      <c r="J13" s="148"/>
      <c r="K13" s="148"/>
    </row>
    <row r="14" spans="1:11" ht="14.25" x14ac:dyDescent="0.2">
      <c r="A14" s="148"/>
      <c r="B14" s="390" t="s">
        <v>152</v>
      </c>
      <c r="C14" s="391"/>
      <c r="D14" s="392"/>
      <c r="E14" s="144">
        <v>5.4</v>
      </c>
      <c r="F14" s="148"/>
      <c r="G14" s="148"/>
      <c r="H14" s="148"/>
      <c r="I14" s="148"/>
      <c r="J14" s="148"/>
      <c r="K14" s="148"/>
    </row>
    <row r="15" spans="1:11" ht="14.25" x14ac:dyDescent="0.2">
      <c r="A15" s="148"/>
      <c r="B15" s="387" t="s">
        <v>111</v>
      </c>
      <c r="C15" s="388"/>
      <c r="D15" s="389"/>
      <c r="E15" s="144">
        <v>4.55</v>
      </c>
      <c r="F15" s="148"/>
      <c r="G15" s="148"/>
      <c r="H15" s="148"/>
      <c r="I15" s="148"/>
      <c r="J15" s="148"/>
      <c r="K15" s="148"/>
    </row>
    <row r="16" spans="1:11" ht="14.25" x14ac:dyDescent="0.2">
      <c r="A16" s="148"/>
      <c r="B16" s="387" t="s">
        <v>49</v>
      </c>
      <c r="C16" s="388"/>
      <c r="D16" s="389"/>
      <c r="E16" s="144">
        <v>8.1999999999999993</v>
      </c>
      <c r="F16" s="148"/>
      <c r="G16" s="148"/>
      <c r="H16" s="148"/>
      <c r="I16" s="148"/>
      <c r="J16" s="148"/>
      <c r="K16" s="148"/>
    </row>
    <row r="17" spans="1:12" ht="14.25" x14ac:dyDescent="0.2">
      <c r="A17" s="148"/>
      <c r="B17" s="387" t="s">
        <v>112</v>
      </c>
      <c r="C17" s="388"/>
      <c r="D17" s="389"/>
      <c r="E17" s="147">
        <v>0.04</v>
      </c>
      <c r="F17" s="148"/>
      <c r="G17" s="148"/>
      <c r="H17" s="148"/>
      <c r="I17" s="148"/>
      <c r="J17" s="148"/>
      <c r="K17" s="148"/>
    </row>
    <row r="18" spans="1:12" x14ac:dyDescent="0.25">
      <c r="A18" s="148"/>
      <c r="B18" s="387" t="s">
        <v>156</v>
      </c>
      <c r="C18" s="388"/>
      <c r="D18" s="389"/>
      <c r="E18" s="144">
        <v>0.1</v>
      </c>
      <c r="F18" s="148"/>
      <c r="G18" s="148"/>
      <c r="H18" s="148"/>
      <c r="I18" s="148"/>
      <c r="J18" s="148"/>
      <c r="K18" s="148"/>
    </row>
    <row r="19" spans="1:12" ht="14.25" x14ac:dyDescent="0.2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</row>
    <row r="20" spans="1:12" ht="14.25" x14ac:dyDescent="0.2">
      <c r="A20" s="148"/>
      <c r="B20" s="109" t="s">
        <v>141</v>
      </c>
      <c r="C20" s="109"/>
      <c r="D20" s="109"/>
      <c r="E20" s="148"/>
      <c r="F20" s="148"/>
      <c r="G20" s="148"/>
      <c r="H20" s="148"/>
      <c r="I20" s="148"/>
      <c r="J20" s="148"/>
      <c r="K20" s="148"/>
    </row>
    <row r="21" spans="1:12" ht="14.25" x14ac:dyDescent="0.2">
      <c r="A21" s="148"/>
      <c r="B21" s="148"/>
      <c r="C21" s="148"/>
      <c r="D21" s="148"/>
      <c r="E21" s="148"/>
      <c r="F21" s="148"/>
      <c r="G21" s="148"/>
      <c r="H21" s="110" t="s">
        <v>116</v>
      </c>
      <c r="I21" s="110" t="s">
        <v>117</v>
      </c>
      <c r="J21" s="173" t="s">
        <v>115</v>
      </c>
      <c r="K21" s="148"/>
    </row>
    <row r="22" spans="1:12" ht="14.25" x14ac:dyDescent="0.2">
      <c r="A22" s="148"/>
      <c r="B22" s="114" t="s">
        <v>118</v>
      </c>
      <c r="C22" s="109"/>
      <c r="D22" s="109"/>
      <c r="E22" s="148"/>
      <c r="F22" s="148"/>
      <c r="G22" s="148"/>
      <c r="H22" s="149">
        <v>18</v>
      </c>
      <c r="I22" s="149">
        <v>40</v>
      </c>
      <c r="J22" s="150">
        <f>E6</f>
        <v>40</v>
      </c>
      <c r="K22" s="148"/>
    </row>
    <row r="23" spans="1:12" ht="14.25" x14ac:dyDescent="0.2">
      <c r="A23" s="148"/>
      <c r="B23" s="114" t="s">
        <v>103</v>
      </c>
      <c r="C23" s="109"/>
      <c r="D23" s="109"/>
      <c r="E23" s="148"/>
      <c r="F23" s="148"/>
      <c r="G23" s="148"/>
      <c r="H23" s="127">
        <f>E7</f>
        <v>3.5</v>
      </c>
      <c r="I23" s="127">
        <f>E7</f>
        <v>3.5</v>
      </c>
      <c r="J23" s="128">
        <f>E7</f>
        <v>3.5</v>
      </c>
      <c r="K23" s="148"/>
    </row>
    <row r="24" spans="1:12" ht="14.25" x14ac:dyDescent="0.2">
      <c r="A24" s="148"/>
      <c r="B24" s="117" t="s">
        <v>119</v>
      </c>
      <c r="C24" s="109"/>
      <c r="D24" s="109"/>
      <c r="E24" s="148"/>
      <c r="F24" s="148"/>
      <c r="G24" s="148"/>
      <c r="H24" s="148"/>
      <c r="I24" s="148"/>
      <c r="J24" s="148"/>
      <c r="K24" s="148"/>
    </row>
    <row r="25" spans="1:12" ht="14.25" x14ac:dyDescent="0.2">
      <c r="A25" s="148"/>
      <c r="B25" s="114" t="s">
        <v>120</v>
      </c>
      <c r="C25" s="109"/>
      <c r="D25" s="109"/>
      <c r="E25" s="148"/>
      <c r="F25" s="148"/>
      <c r="G25" s="152"/>
      <c r="H25" s="127">
        <v>30</v>
      </c>
      <c r="I25" s="127">
        <v>60</v>
      </c>
      <c r="J25" s="128">
        <f>E10</f>
        <v>60</v>
      </c>
      <c r="K25" s="148"/>
    </row>
    <row r="26" spans="1:12" ht="14.25" x14ac:dyDescent="0.2">
      <c r="A26" s="148"/>
      <c r="B26" s="114" t="s">
        <v>159</v>
      </c>
      <c r="C26" s="109"/>
      <c r="D26" s="109"/>
      <c r="E26" s="148"/>
      <c r="F26" s="148"/>
      <c r="G26" s="152"/>
      <c r="H26" s="127">
        <v>1500</v>
      </c>
      <c r="I26" s="127">
        <v>2333</v>
      </c>
      <c r="J26" s="128">
        <f>E11</f>
        <v>2333</v>
      </c>
      <c r="K26" s="148"/>
    </row>
    <row r="27" spans="1:12" ht="14.25" x14ac:dyDescent="0.2">
      <c r="A27" s="148"/>
      <c r="B27" s="114" t="s">
        <v>160</v>
      </c>
      <c r="C27" s="109"/>
      <c r="D27" s="109"/>
      <c r="E27" s="148"/>
      <c r="F27" s="148"/>
      <c r="G27" s="152"/>
      <c r="H27" s="127">
        <v>600</v>
      </c>
      <c r="I27" s="127">
        <v>800</v>
      </c>
      <c r="J27" s="128">
        <f>E12</f>
        <v>800</v>
      </c>
      <c r="K27" s="148"/>
    </row>
    <row r="28" spans="1:12" x14ac:dyDescent="0.25">
      <c r="A28" s="148"/>
      <c r="B28" s="148"/>
      <c r="C28" s="148"/>
      <c r="D28" s="148"/>
      <c r="E28" s="148"/>
      <c r="F28" s="119" t="s">
        <v>121</v>
      </c>
      <c r="G28" s="152"/>
      <c r="H28" s="152"/>
      <c r="I28" s="152"/>
      <c r="J28" s="152"/>
      <c r="K28" s="148"/>
    </row>
    <row r="29" spans="1:12" ht="14.25" x14ac:dyDescent="0.2">
      <c r="A29" s="148"/>
      <c r="B29" s="114" t="s">
        <v>122</v>
      </c>
      <c r="C29" s="109"/>
      <c r="D29" s="109"/>
      <c r="E29" s="148"/>
      <c r="F29" s="153">
        <v>120</v>
      </c>
      <c r="G29" s="119" t="s">
        <v>123</v>
      </c>
      <c r="H29" s="154">
        <v>1</v>
      </c>
      <c r="I29" s="154">
        <v>2</v>
      </c>
      <c r="J29" s="122"/>
      <c r="K29" s="148"/>
    </row>
    <row r="30" spans="1:12" ht="14.25" x14ac:dyDescent="0.2">
      <c r="A30" s="148"/>
      <c r="B30" s="148"/>
      <c r="C30" s="148"/>
      <c r="D30" s="148"/>
      <c r="E30" s="148"/>
      <c r="F30" s="148"/>
      <c r="G30" s="152"/>
      <c r="H30" s="123">
        <f>$F$29*H29</f>
        <v>120</v>
      </c>
      <c r="I30" s="123">
        <f>$F$29*I29</f>
        <v>240</v>
      </c>
      <c r="J30" s="124">
        <f>E13</f>
        <v>240</v>
      </c>
      <c r="K30" s="148"/>
    </row>
    <row r="31" spans="1:12" ht="14.25" x14ac:dyDescent="0.2">
      <c r="A31" s="148"/>
      <c r="B31" s="148"/>
      <c r="C31" s="148"/>
      <c r="D31" s="148"/>
      <c r="E31" s="148"/>
      <c r="F31" s="148"/>
      <c r="G31" s="152"/>
      <c r="H31" s="148"/>
      <c r="I31" s="148"/>
      <c r="J31" s="148"/>
      <c r="K31" s="148"/>
    </row>
    <row r="32" spans="1:12" x14ac:dyDescent="0.25">
      <c r="A32" s="148"/>
      <c r="B32" s="148"/>
      <c r="C32" s="148"/>
      <c r="D32" s="148"/>
      <c r="E32" s="148"/>
      <c r="F32" s="109" t="s">
        <v>151</v>
      </c>
      <c r="G32" s="155"/>
      <c r="H32" s="123">
        <f>H25+H26+H27+H30</f>
        <v>2250</v>
      </c>
      <c r="I32" s="123">
        <f>I25+I26+I27+I30</f>
        <v>3433</v>
      </c>
      <c r="J32" s="124">
        <f>J25+J26+J27+J30</f>
        <v>3433</v>
      </c>
      <c r="K32" s="148"/>
      <c r="L32" s="62">
        <f>I32/(H22*E8)</f>
        <v>0.63574074074074072</v>
      </c>
    </row>
    <row r="33" spans="1:11" x14ac:dyDescent="0.25">
      <c r="A33" s="148"/>
      <c r="B33" s="148"/>
      <c r="C33" s="148"/>
      <c r="D33" s="148"/>
      <c r="E33" s="148"/>
      <c r="F33" s="148"/>
      <c r="G33" s="155"/>
      <c r="H33" s="155"/>
      <c r="I33" s="155"/>
      <c r="J33" s="155"/>
      <c r="K33" s="148"/>
    </row>
    <row r="34" spans="1:11" x14ac:dyDescent="0.25">
      <c r="A34" s="148"/>
      <c r="B34" s="151" t="s">
        <v>124</v>
      </c>
      <c r="C34" s="109"/>
      <c r="D34" s="109"/>
      <c r="E34" s="109"/>
      <c r="F34" s="148"/>
      <c r="G34" s="152"/>
      <c r="H34" s="123">
        <f>H32/H22</f>
        <v>125</v>
      </c>
      <c r="I34" s="123">
        <f>I32/I22</f>
        <v>85.825000000000003</v>
      </c>
      <c r="J34" s="124">
        <f>IF(J22=0, " ", J32/J22)</f>
        <v>85.825000000000003</v>
      </c>
      <c r="K34" s="148"/>
    </row>
    <row r="35" spans="1:11" x14ac:dyDescent="0.25">
      <c r="A35" s="148"/>
      <c r="B35" s="156"/>
      <c r="C35" s="148"/>
      <c r="D35" s="148"/>
      <c r="E35" s="148"/>
      <c r="F35" s="148"/>
      <c r="G35" s="152"/>
      <c r="H35" s="152"/>
      <c r="I35" s="152"/>
      <c r="J35" s="152"/>
      <c r="K35" s="148"/>
    </row>
    <row r="36" spans="1:11" x14ac:dyDescent="0.25">
      <c r="A36" s="148"/>
      <c r="B36" s="157"/>
      <c r="C36" s="148"/>
      <c r="D36" s="148"/>
      <c r="E36" s="148"/>
      <c r="F36" s="148"/>
      <c r="G36" s="152"/>
      <c r="H36" s="152"/>
      <c r="I36" s="152"/>
      <c r="J36" s="152"/>
      <c r="K36" s="148"/>
    </row>
    <row r="37" spans="1:11" x14ac:dyDescent="0.25">
      <c r="A37" s="148"/>
      <c r="B37" s="151" t="s">
        <v>125</v>
      </c>
      <c r="C37" s="109"/>
      <c r="D37" s="109"/>
      <c r="E37" s="109"/>
      <c r="F37" s="158">
        <f>E8</f>
        <v>300</v>
      </c>
      <c r="G37" s="159" t="s">
        <v>46</v>
      </c>
      <c r="H37" s="127">
        <f>H34/$F$37</f>
        <v>0.41666666666666669</v>
      </c>
      <c r="I37" s="127">
        <f>I34/$F$37</f>
        <v>0.28608333333333336</v>
      </c>
      <c r="J37" s="128">
        <f>IF($J$22=0," ",$J$34/F37)</f>
        <v>0.28608333333333336</v>
      </c>
      <c r="K37" s="148"/>
    </row>
    <row r="38" spans="1:11" x14ac:dyDescent="0.25">
      <c r="A38" s="148"/>
      <c r="B38" s="148"/>
      <c r="C38" s="148"/>
      <c r="D38" s="148"/>
      <c r="E38" s="148"/>
      <c r="F38" s="148"/>
      <c r="G38" s="152"/>
      <c r="H38" s="152"/>
      <c r="I38" s="152"/>
      <c r="J38" s="152"/>
      <c r="K38" s="148"/>
    </row>
    <row r="39" spans="1:11" x14ac:dyDescent="0.25">
      <c r="A39" s="148"/>
      <c r="B39" s="117" t="s">
        <v>126</v>
      </c>
      <c r="C39" s="109"/>
      <c r="D39" s="148"/>
      <c r="E39" s="148"/>
      <c r="F39" s="148"/>
      <c r="G39" s="152"/>
      <c r="H39" s="152"/>
      <c r="I39" s="152"/>
      <c r="J39" s="152"/>
      <c r="K39" s="148"/>
    </row>
    <row r="40" spans="1:11" x14ac:dyDescent="0.25">
      <c r="A40" s="148"/>
      <c r="B40" s="148"/>
      <c r="C40" s="148"/>
      <c r="D40" s="148"/>
      <c r="E40" s="148"/>
      <c r="F40" s="148"/>
      <c r="G40" s="160"/>
      <c r="H40" s="160"/>
      <c r="I40" s="160"/>
      <c r="J40" s="160"/>
      <c r="K40" s="148"/>
    </row>
    <row r="41" spans="1:11" x14ac:dyDescent="0.25">
      <c r="A41" s="148"/>
      <c r="B41" s="114" t="s">
        <v>152</v>
      </c>
      <c r="C41" s="109"/>
      <c r="D41" s="153">
        <v>6.77</v>
      </c>
      <c r="E41" s="148"/>
      <c r="F41" s="148"/>
      <c r="G41" s="161"/>
      <c r="H41" s="127">
        <f>H$22*$D$41</f>
        <v>121.85999999999999</v>
      </c>
      <c r="I41" s="127">
        <f>I$22*$D$41</f>
        <v>270.79999999999995</v>
      </c>
      <c r="J41" s="128">
        <f>J22*E14</f>
        <v>216</v>
      </c>
      <c r="K41" s="148"/>
    </row>
    <row r="42" spans="1:11" x14ac:dyDescent="0.25">
      <c r="A42" s="148"/>
      <c r="B42" s="114" t="s">
        <v>127</v>
      </c>
      <c r="C42" s="109"/>
      <c r="D42" s="153">
        <v>2.83</v>
      </c>
      <c r="E42" s="148"/>
      <c r="F42" s="148"/>
      <c r="G42" s="161"/>
      <c r="H42" s="127">
        <f>H$22*$D$42</f>
        <v>50.94</v>
      </c>
      <c r="I42" s="127">
        <f>I22*$D$42</f>
        <v>113.2</v>
      </c>
      <c r="J42" s="128">
        <f>J22*E15</f>
        <v>182</v>
      </c>
      <c r="K42" s="148"/>
    </row>
    <row r="43" spans="1:11" x14ac:dyDescent="0.25">
      <c r="A43" s="148"/>
      <c r="B43" s="114" t="s">
        <v>49</v>
      </c>
      <c r="C43" s="109"/>
      <c r="D43" s="153">
        <v>8.1999999999999993</v>
      </c>
      <c r="E43" s="148"/>
      <c r="F43" s="148"/>
      <c r="G43" s="161"/>
      <c r="H43" s="127">
        <f>D43*H22</f>
        <v>147.6</v>
      </c>
      <c r="I43" s="127">
        <f>I22*D43</f>
        <v>328</v>
      </c>
      <c r="J43" s="128">
        <f>J22*E16</f>
        <v>328</v>
      </c>
      <c r="K43" s="148"/>
    </row>
    <row r="44" spans="1:11" x14ac:dyDescent="0.25">
      <c r="A44" s="148"/>
      <c r="B44" s="157"/>
      <c r="C44" s="148"/>
      <c r="D44" s="162"/>
      <c r="E44" s="148"/>
      <c r="F44" s="148"/>
      <c r="G44" s="161"/>
      <c r="H44" s="161"/>
      <c r="I44" s="161"/>
      <c r="J44" s="161"/>
      <c r="K44" s="148"/>
    </row>
    <row r="45" spans="1:11" x14ac:dyDescent="0.25">
      <c r="A45" s="148"/>
      <c r="B45" s="156"/>
      <c r="C45" s="156"/>
      <c r="D45" s="163"/>
      <c r="E45" s="117" t="s">
        <v>126</v>
      </c>
      <c r="F45" s="109"/>
      <c r="G45" s="117" t="s">
        <v>128</v>
      </c>
      <c r="H45" s="123">
        <f>SUM(H41:H43)</f>
        <v>320.39999999999998</v>
      </c>
      <c r="I45" s="123">
        <f t="shared" ref="I45:J45" si="0">SUM(I41:I43)</f>
        <v>712</v>
      </c>
      <c r="J45" s="124">
        <f t="shared" si="0"/>
        <v>726</v>
      </c>
      <c r="K45" s="148"/>
    </row>
    <row r="46" spans="1:11" x14ac:dyDescent="0.25">
      <c r="A46" s="148"/>
      <c r="B46" s="148"/>
      <c r="C46" s="148"/>
      <c r="D46" s="148"/>
      <c r="E46" s="148"/>
      <c r="F46" s="148"/>
      <c r="G46" s="129" t="s">
        <v>129</v>
      </c>
      <c r="H46" s="123">
        <f>H45/H22</f>
        <v>17.799999999999997</v>
      </c>
      <c r="I46" s="123">
        <f>I45/I22</f>
        <v>17.8</v>
      </c>
      <c r="J46" s="124">
        <f>IF(J22=0," ",J45/J22)</f>
        <v>18.149999999999999</v>
      </c>
      <c r="K46" s="148"/>
    </row>
    <row r="47" spans="1:11" x14ac:dyDescent="0.25">
      <c r="A47" s="148"/>
      <c r="B47" s="148"/>
      <c r="C47" s="148"/>
      <c r="D47" s="148"/>
      <c r="E47" s="148"/>
      <c r="F47" s="163"/>
      <c r="G47" s="164"/>
      <c r="H47" s="164"/>
      <c r="I47" s="164"/>
      <c r="J47" s="164"/>
      <c r="K47" s="148"/>
    </row>
    <row r="48" spans="1:11" x14ac:dyDescent="0.25">
      <c r="A48" s="148"/>
      <c r="B48" s="148"/>
      <c r="C48" s="148"/>
      <c r="D48" s="148"/>
      <c r="E48" s="148"/>
      <c r="F48" s="117" t="s">
        <v>130</v>
      </c>
      <c r="G48" s="109"/>
      <c r="H48" s="123">
        <f>H45+H32</f>
        <v>2570.4</v>
      </c>
      <c r="I48" s="123">
        <f>I45+I32</f>
        <v>4145</v>
      </c>
      <c r="J48" s="124">
        <f>J45+J32</f>
        <v>4159</v>
      </c>
      <c r="K48" s="148"/>
    </row>
    <row r="49" spans="1:15" x14ac:dyDescent="0.25">
      <c r="A49" s="148"/>
      <c r="B49" s="148"/>
      <c r="C49" s="148"/>
      <c r="D49" s="148"/>
      <c r="E49" s="148"/>
      <c r="F49" s="148"/>
      <c r="G49" s="152"/>
      <c r="H49" s="152"/>
      <c r="I49" s="152"/>
      <c r="J49" s="152"/>
      <c r="K49" s="148"/>
    </row>
    <row r="50" spans="1:15" x14ac:dyDescent="0.25">
      <c r="A50" s="148"/>
      <c r="B50" s="117" t="s">
        <v>131</v>
      </c>
      <c r="C50" s="109"/>
      <c r="D50" s="151"/>
      <c r="E50" s="151"/>
      <c r="F50" s="109"/>
      <c r="G50" s="109"/>
      <c r="H50" s="123">
        <f>H46+H34</f>
        <v>142.80000000000001</v>
      </c>
      <c r="I50" s="123">
        <f>I46+I34</f>
        <v>103.625</v>
      </c>
      <c r="J50" s="124">
        <f>J46+J34</f>
        <v>103.97499999999999</v>
      </c>
      <c r="K50" s="148"/>
    </row>
    <row r="51" spans="1:15" x14ac:dyDescent="0.25">
      <c r="A51" s="148"/>
      <c r="B51" s="148"/>
      <c r="C51" s="148"/>
      <c r="D51" s="148"/>
      <c r="E51" s="148"/>
      <c r="F51" s="163"/>
      <c r="G51" s="165"/>
      <c r="H51" s="165"/>
      <c r="I51" s="165"/>
      <c r="J51" s="165"/>
      <c r="K51" s="148"/>
    </row>
    <row r="52" spans="1:15" x14ac:dyDescent="0.25">
      <c r="A52" s="148"/>
      <c r="B52" s="117" t="s">
        <v>132</v>
      </c>
      <c r="C52" s="109"/>
      <c r="D52" s="109"/>
      <c r="E52" s="109"/>
      <c r="F52" s="166">
        <f>E8</f>
        <v>300</v>
      </c>
      <c r="G52" s="134" t="s">
        <v>46</v>
      </c>
      <c r="H52" s="123">
        <f>H50/F52</f>
        <v>0.47600000000000003</v>
      </c>
      <c r="I52" s="123">
        <f>I50/F52</f>
        <v>0.34541666666666665</v>
      </c>
      <c r="J52" s="124">
        <f>J50/F52</f>
        <v>0.3465833333333333</v>
      </c>
      <c r="K52" s="148"/>
      <c r="M52" s="78"/>
    </row>
    <row r="53" spans="1:15" x14ac:dyDescent="0.25">
      <c r="A53" s="148"/>
      <c r="B53" s="148"/>
      <c r="C53" s="148"/>
      <c r="D53" s="148"/>
      <c r="E53" s="148"/>
      <c r="F53" s="148"/>
      <c r="G53" s="165"/>
      <c r="H53" s="165"/>
      <c r="I53" s="165"/>
      <c r="J53" s="165"/>
      <c r="K53" s="148"/>
      <c r="M53" s="179"/>
      <c r="O53" s="78"/>
    </row>
    <row r="54" spans="1:15" x14ac:dyDescent="0.25">
      <c r="A54" s="148"/>
      <c r="B54" s="117" t="s">
        <v>133</v>
      </c>
      <c r="C54" s="109"/>
      <c r="D54" s="109"/>
      <c r="E54" s="148"/>
      <c r="F54" s="148"/>
      <c r="G54" s="165"/>
      <c r="H54" s="165"/>
      <c r="I54" s="165"/>
      <c r="J54" s="165"/>
      <c r="K54" s="148"/>
      <c r="M54" s="178"/>
    </row>
    <row r="55" spans="1:15" x14ac:dyDescent="0.25">
      <c r="A55" s="148"/>
      <c r="B55" s="114" t="s">
        <v>134</v>
      </c>
      <c r="C55" s="109"/>
      <c r="D55" s="109"/>
      <c r="E55" s="180">
        <v>0.04</v>
      </c>
      <c r="F55" s="166"/>
      <c r="G55" s="136"/>
      <c r="H55" s="127">
        <f>(E8/E9)*(E7*E9)*E55</f>
        <v>42</v>
      </c>
      <c r="I55" s="127">
        <f>(E8/E9)*(E7*E9)*E55</f>
        <v>42</v>
      </c>
      <c r="J55" s="124">
        <f>(E8/E9)*(E7*E9)*E55</f>
        <v>42</v>
      </c>
      <c r="K55" s="148"/>
      <c r="L55" s="78"/>
      <c r="M55" s="78"/>
    </row>
    <row r="56" spans="1:15" x14ac:dyDescent="0.25">
      <c r="A56" s="148"/>
      <c r="B56" s="114" t="s">
        <v>113</v>
      </c>
      <c r="C56" s="109"/>
      <c r="D56" s="109"/>
      <c r="E56" s="153">
        <v>0.1</v>
      </c>
      <c r="F56" s="114"/>
      <c r="G56" s="131"/>
      <c r="H56" s="127">
        <f>E56</f>
        <v>0.1</v>
      </c>
      <c r="I56" s="127">
        <f>E56</f>
        <v>0.1</v>
      </c>
      <c r="J56" s="128">
        <f>E18</f>
        <v>0.1</v>
      </c>
      <c r="K56" s="148"/>
      <c r="N56" s="78"/>
      <c r="O56" s="78"/>
    </row>
    <row r="57" spans="1:15" x14ac:dyDescent="0.25">
      <c r="A57" s="157"/>
      <c r="B57" s="157"/>
      <c r="C57" s="148"/>
      <c r="D57" s="148"/>
      <c r="E57" s="162"/>
      <c r="F57" s="167"/>
      <c r="G57" s="152"/>
      <c r="H57" s="152"/>
      <c r="I57" s="152"/>
      <c r="J57" s="152"/>
      <c r="K57" s="148"/>
    </row>
    <row r="58" spans="1:15" x14ac:dyDescent="0.25">
      <c r="A58" s="148"/>
      <c r="B58" s="148"/>
      <c r="C58" s="148"/>
      <c r="D58" s="148"/>
      <c r="E58" s="148"/>
      <c r="F58" s="117" t="s">
        <v>129</v>
      </c>
      <c r="G58" s="168"/>
      <c r="H58" s="123">
        <f>SUM(H55:H56)</f>
        <v>42.1</v>
      </c>
      <c r="I58" s="123">
        <f>SUM(I55:I56)</f>
        <v>42.1</v>
      </c>
      <c r="J58" s="124">
        <f>SUM(J55:J56)</f>
        <v>42.1</v>
      </c>
      <c r="K58" s="148"/>
    </row>
    <row r="59" spans="1:15" x14ac:dyDescent="0.25">
      <c r="A59" s="148"/>
      <c r="B59" s="148"/>
      <c r="C59" s="148"/>
      <c r="D59" s="148"/>
      <c r="E59" s="148"/>
      <c r="F59" s="117" t="s">
        <v>135</v>
      </c>
      <c r="G59" s="168"/>
      <c r="H59" s="123">
        <f>H58/E8</f>
        <v>0.14033333333333334</v>
      </c>
      <c r="I59" s="123">
        <f>I58/E8</f>
        <v>0.14033333333333334</v>
      </c>
      <c r="J59" s="124">
        <f>J58/E8</f>
        <v>0.14033333333333334</v>
      </c>
      <c r="K59" s="148"/>
    </row>
    <row r="60" spans="1:15" x14ac:dyDescent="0.25">
      <c r="A60" s="148"/>
      <c r="B60" s="148"/>
      <c r="C60" s="148"/>
      <c r="D60" s="148"/>
      <c r="E60" s="148"/>
      <c r="F60" s="167"/>
      <c r="G60" s="152"/>
      <c r="H60" s="152"/>
      <c r="I60" s="152"/>
      <c r="J60" s="152"/>
      <c r="K60" s="148"/>
    </row>
    <row r="61" spans="1:15" x14ac:dyDescent="0.25">
      <c r="A61" s="148"/>
      <c r="B61" s="169" t="s">
        <v>136</v>
      </c>
      <c r="C61" s="169"/>
      <c r="D61" s="170"/>
      <c r="E61" s="170"/>
      <c r="F61" s="170"/>
      <c r="G61" s="148"/>
      <c r="H61" s="123">
        <f>H58+H34</f>
        <v>167.1</v>
      </c>
      <c r="I61" s="123">
        <f>I58+I34</f>
        <v>127.92500000000001</v>
      </c>
      <c r="J61" s="124">
        <f>J58+J34</f>
        <v>127.92500000000001</v>
      </c>
      <c r="K61" s="148"/>
    </row>
    <row r="62" spans="1:15" x14ac:dyDescent="0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</row>
    <row r="63" spans="1:15" x14ac:dyDescent="0.25">
      <c r="A63" s="148"/>
      <c r="B63" s="169" t="s">
        <v>162</v>
      </c>
      <c r="C63" s="169"/>
      <c r="D63" s="169"/>
      <c r="E63" s="169"/>
      <c r="F63" s="148"/>
      <c r="G63" s="148"/>
      <c r="H63" s="69">
        <f>H59+H37</f>
        <v>0.55700000000000005</v>
      </c>
      <c r="I63" s="69">
        <f>I59+I37</f>
        <v>0.42641666666666667</v>
      </c>
      <c r="J63" s="104">
        <f>J59+J37</f>
        <v>0.42641666666666667</v>
      </c>
      <c r="K63" s="148"/>
    </row>
    <row r="64" spans="1:15" x14ac:dyDescent="0.2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</row>
    <row r="65" spans="1:11" x14ac:dyDescent="0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</row>
  </sheetData>
  <sheetProtection sheet="1" objects="1" scenarios="1" selectLockedCells="1"/>
  <mergeCells count="13">
    <mergeCell ref="B17:D17"/>
    <mergeCell ref="B18:D18"/>
    <mergeCell ref="B6:D6"/>
    <mergeCell ref="B7:D7"/>
    <mergeCell ref="B8:D8"/>
    <mergeCell ref="B9:D9"/>
    <mergeCell ref="B10:D10"/>
    <mergeCell ref="B11:D11"/>
    <mergeCell ref="B16:D16"/>
    <mergeCell ref="B12:D12"/>
    <mergeCell ref="B13:D13"/>
    <mergeCell ref="B14:D14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Lamb</vt:lpstr>
      <vt:lpstr>Lamb Data</vt:lpstr>
      <vt:lpstr>Lamb export</vt:lpstr>
      <vt:lpstr>Cattle</vt:lpstr>
      <vt:lpstr>Cattle data</vt:lpstr>
      <vt:lpstr>Sheet3</vt:lpstr>
      <vt:lpstr>Cattle export</vt:lpstr>
      <vt:lpstr>Cattle!Print_Area</vt:lpstr>
      <vt:lpstr>Lamb!Print_Area</vt:lpstr>
    </vt:vector>
  </TitlesOfParts>
  <Company>Isle of Man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McEvoy</dc:creator>
  <cp:lastModifiedBy>Harrison</cp:lastModifiedBy>
  <cp:lastPrinted>2017-10-06T12:33:00Z</cp:lastPrinted>
  <dcterms:created xsi:type="dcterms:W3CDTF">2015-11-05T09:18:12Z</dcterms:created>
  <dcterms:modified xsi:type="dcterms:W3CDTF">2018-03-21T11:20:13Z</dcterms:modified>
</cp:coreProperties>
</file>